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regisbraucher/Library/CloudStorage/Dropbox/ASTER/PRIX2023/DECISIONS/"/>
    </mc:Choice>
  </mc:AlternateContent>
  <xr:revisionPtr revIDLastSave="0" documentId="13_ncr:1_{6429767E-51F3-6B41-BE35-A773E01A7664}" xr6:coauthVersionLast="47" xr6:coauthVersionMax="47" xr10:uidLastSave="{00000000-0000-0000-0000-000000000000}"/>
  <workbookProtection workbookAlgorithmName="SHA-512" workbookHashValue="d1wvAeRR2V4Niq6AFEgZSX5dhbamKu9xHuVE0KgZz52dGVJQEworynwgGdjbdQ59p4G8dxt8lLeGssPM1VPF/w==" workbookSaltValue="a6TNr+yY3AEOVd5BcXj9Gg==" workbookSpinCount="100000" lockStructure="1"/>
  <bookViews>
    <workbookView xWindow="0" yWindow="640" windowWidth="34560" windowHeight="21600" activeTab="1" xr2:uid="{5A0BEDF7-7F6C-458F-A1DE-83059E04C906}"/>
  </bookViews>
  <sheets>
    <sheet name="Notice" sheetId="6" r:id="rId1"/>
    <sheet name="Devis Général" sheetId="5" r:id="rId2"/>
    <sheet name="Client - Tarifs" sheetId="7" r:id="rId3"/>
    <sheet name="Devis ANR" sheetId="2" r:id="rId4"/>
    <sheet name="Devis HE Clé de répartition" sheetId="3" r:id="rId5"/>
  </sheets>
  <definedNames>
    <definedName name="_xlnm.Print_Area" localSheetId="3">'Devis ANR'!$B$2:$F$54</definedName>
    <definedName name="_xlnm.Print_Area" localSheetId="1">'Devis Général'!$B$2:$F$55</definedName>
    <definedName name="_xlnm.Print_Area" localSheetId="4">'Devis HE Clé de répartition'!$B$2:$F$53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5" l="1"/>
  <c r="D13" i="2"/>
  <c r="O25" i="5"/>
  <c r="D30" i="5" a="1"/>
  <c r="D30" i="5" s="1"/>
  <c r="J40" i="5"/>
  <c r="O40" i="5"/>
  <c r="B38" i="3"/>
  <c r="B38" i="2"/>
  <c r="J32" i="5" a="1"/>
  <c r="J32" i="5" s="1"/>
  <c r="G32" i="5" a="1"/>
  <c r="G32" i="5" s="1"/>
  <c r="N32" i="5" s="1"/>
  <c r="P32" i="5" s="1"/>
  <c r="J31" i="5" a="1"/>
  <c r="J31" i="5" s="1"/>
  <c r="G31" i="5" a="1"/>
  <c r="G31" i="5" s="1"/>
  <c r="N31" i="5" s="1"/>
  <c r="J26" i="5" a="1"/>
  <c r="J26" i="5" s="1"/>
  <c r="G26" i="5" a="1"/>
  <c r="G26" i="5" s="1"/>
  <c r="N26" i="5" s="1"/>
  <c r="P26" i="5" s="1"/>
  <c r="J27" i="5" a="1"/>
  <c r="J27" i="5" s="1"/>
  <c r="G27" i="5" a="1"/>
  <c r="G27" i="5"/>
  <c r="N27" i="5" s="1"/>
  <c r="P27" i="5" s="1"/>
  <c r="J28" i="5" a="1"/>
  <c r="J28" i="5" s="1"/>
  <c r="G28" i="5" a="1"/>
  <c r="G28" i="5" s="1"/>
  <c r="N28" i="5" s="1"/>
  <c r="P28" i="5" s="1"/>
  <c r="J29" i="5" a="1"/>
  <c r="J29" i="5" s="1"/>
  <c r="G29" i="5" a="1"/>
  <c r="G29" i="5"/>
  <c r="N29" i="5" s="1"/>
  <c r="P29" i="5" s="1"/>
  <c r="J30" i="5" a="1"/>
  <c r="J30" i="5" s="1"/>
  <c r="L30" i="5" s="1"/>
  <c r="G30" i="5" a="1"/>
  <c r="G30" i="5" s="1"/>
  <c r="N30" i="5" s="1"/>
  <c r="J25" i="5" a="1"/>
  <c r="J25" i="5" s="1"/>
  <c r="G25" i="5" a="1"/>
  <c r="G25" i="5" s="1"/>
  <c r="N25" i="5" s="1"/>
  <c r="P25" i="5" s="1"/>
  <c r="N38" i="5"/>
  <c r="J38" i="5"/>
  <c r="L44" i="5"/>
  <c r="M43" i="5"/>
  <c r="O37" i="5"/>
  <c r="K33" i="5"/>
  <c r="K37" i="5"/>
  <c r="G33" i="5" a="1"/>
  <c r="G33" i="5" s="1"/>
  <c r="N33" i="5" s="1"/>
  <c r="O33" i="5"/>
  <c r="O32" i="5"/>
  <c r="O31" i="5"/>
  <c r="O30" i="5"/>
  <c r="O29" i="5"/>
  <c r="O28" i="5"/>
  <c r="O27" i="5"/>
  <c r="O26" i="5"/>
  <c r="D45" i="7"/>
  <c r="L18" i="7"/>
  <c r="D33" i="5" a="1"/>
  <c r="D33" i="5" s="1"/>
  <c r="B19" i="7"/>
  <c r="C33" i="7"/>
  <c r="C45" i="7"/>
  <c r="F33" i="5" a="1"/>
  <c r="F33" i="5" s="1"/>
  <c r="L35" i="5" s="1"/>
  <c r="C16" i="7"/>
  <c r="C11" i="7"/>
  <c r="C12" i="7"/>
  <c r="C13" i="7"/>
  <c r="C14" i="7"/>
  <c r="C15" i="7"/>
  <c r="C17" i="7"/>
  <c r="C10" i="7"/>
  <c r="E33" i="7"/>
  <c r="H33" i="7"/>
  <c r="N33" i="7"/>
  <c r="Q33" i="7"/>
  <c r="E33" i="5" a="1"/>
  <c r="E33" i="5" s="1"/>
  <c r="K33" i="7"/>
  <c r="H32" i="7"/>
  <c r="F31" i="5" a="1"/>
  <c r="F31" i="5" s="1"/>
  <c r="E31" i="5" a="1"/>
  <c r="E31" i="5" s="1"/>
  <c r="D31" i="5" a="1"/>
  <c r="D31" i="5" s="1"/>
  <c r="F26" i="5" a="1"/>
  <c r="F26" i="5"/>
  <c r="F27" i="5" a="1"/>
  <c r="F27" i="5"/>
  <c r="F28" i="5" a="1"/>
  <c r="F28" i="5"/>
  <c r="F29" i="5" a="1"/>
  <c r="F29" i="5"/>
  <c r="F30" i="5" a="1"/>
  <c r="F30" i="5"/>
  <c r="F32" i="5" a="1"/>
  <c r="F32" i="5"/>
  <c r="F25" i="5" a="1"/>
  <c r="F25" i="5"/>
  <c r="E26" i="5" a="1"/>
  <c r="E26" i="5"/>
  <c r="E27" i="5" a="1"/>
  <c r="E27" i="5"/>
  <c r="E28" i="5" a="1"/>
  <c r="E28" i="5"/>
  <c r="E29" i="5" a="1"/>
  <c r="E29" i="5" s="1"/>
  <c r="E30" i="5" a="1"/>
  <c r="E30" i="5"/>
  <c r="E32" i="5" a="1"/>
  <c r="E32" i="5"/>
  <c r="E25" i="5" a="1"/>
  <c r="E25" i="5" s="1"/>
  <c r="D32" i="5" a="1"/>
  <c r="D32" i="5" s="1"/>
  <c r="D26" i="5" a="1"/>
  <c r="D26" i="5" s="1"/>
  <c r="D27" i="5" a="1"/>
  <c r="D27" i="5"/>
  <c r="D28" i="5" a="1"/>
  <c r="D28" i="5" s="1"/>
  <c r="D29" i="5" a="1"/>
  <c r="D29" i="5" s="1"/>
  <c r="D25" i="5" a="1"/>
  <c r="D25" i="5" s="1"/>
  <c r="K32" i="5"/>
  <c r="E33" i="2" s="1"/>
  <c r="K31" i="5"/>
  <c r="E32" i="2" s="1"/>
  <c r="K30" i="5"/>
  <c r="E31" i="2" s="1"/>
  <c r="E30" i="3"/>
  <c r="K29" i="5"/>
  <c r="E28" i="2" s="1"/>
  <c r="K28" i="5"/>
  <c r="K27" i="5"/>
  <c r="K26" i="5"/>
  <c r="E27" i="2"/>
  <c r="E33" i="3"/>
  <c r="E26" i="3"/>
  <c r="E27" i="3"/>
  <c r="E28" i="3"/>
  <c r="E29" i="3"/>
  <c r="E25" i="3"/>
  <c r="E30" i="2"/>
  <c r="E26" i="2"/>
  <c r="E25" i="2"/>
  <c r="E34" i="2" s="1"/>
  <c r="E35" i="2"/>
  <c r="E34" i="3"/>
  <c r="E35" i="3"/>
  <c r="B24" i="3"/>
  <c r="D21" i="3"/>
  <c r="D20" i="3"/>
  <c r="D18" i="3"/>
  <c r="D17" i="3"/>
  <c r="D16" i="3"/>
  <c r="D15" i="3"/>
  <c r="D14" i="3"/>
  <c r="D13" i="3"/>
  <c r="D12" i="3"/>
  <c r="B24" i="2"/>
  <c r="D20" i="2"/>
  <c r="D21" i="2"/>
  <c r="D18" i="2"/>
  <c r="D17" i="2"/>
  <c r="D16" i="2"/>
  <c r="D15" i="2"/>
  <c r="D14" i="2"/>
  <c r="D12" i="2"/>
  <c r="F9" i="3"/>
  <c r="F7" i="3"/>
  <c r="F9" i="2"/>
  <c r="F7" i="2"/>
  <c r="E31" i="3"/>
  <c r="P35" i="5" l="1"/>
  <c r="E32" i="3"/>
  <c r="P33" i="5"/>
  <c r="P31" i="5"/>
  <c r="E29" i="2"/>
  <c r="D31" i="2"/>
  <c r="F31" i="2" s="1"/>
  <c r="D30" i="3"/>
  <c r="F30" i="3" s="1"/>
  <c r="P30" i="5"/>
  <c r="D28" i="2"/>
  <c r="F28" i="2" s="1"/>
  <c r="D33" i="2"/>
  <c r="F33" i="2" s="1"/>
  <c r="D33" i="3"/>
  <c r="F33" i="3" s="1"/>
  <c r="L32" i="5"/>
  <c r="D27" i="3"/>
  <c r="F27" i="3" s="1"/>
  <c r="D27" i="2"/>
  <c r="F27" i="2" s="1"/>
  <c r="L27" i="5"/>
  <c r="J33" i="5" a="1"/>
  <c r="J33" i="5" s="1"/>
  <c r="L33" i="5" s="1"/>
  <c r="D25" i="3"/>
  <c r="D25" i="2"/>
  <c r="L25" i="5"/>
  <c r="L26" i="5"/>
  <c r="D26" i="2"/>
  <c r="F26" i="2" s="1"/>
  <c r="D26" i="3"/>
  <c r="F26" i="3" s="1"/>
  <c r="L28" i="5"/>
  <c r="D28" i="3"/>
  <c r="F28" i="3" s="1"/>
  <c r="D30" i="2"/>
  <c r="D32" i="3"/>
  <c r="D32" i="2"/>
  <c r="F32" i="2" s="1"/>
  <c r="L31" i="5"/>
  <c r="D29" i="3"/>
  <c r="F29" i="3" s="1"/>
  <c r="L29" i="5"/>
  <c r="P37" i="5" l="1"/>
  <c r="P38" i="5" s="1"/>
  <c r="L37" i="5"/>
  <c r="L38" i="5" s="1"/>
  <c r="N44" i="5" s="1"/>
  <c r="D29" i="2"/>
  <c r="F25" i="2"/>
  <c r="F29" i="2" s="1"/>
  <c r="D31" i="3"/>
  <c r="F25" i="3"/>
  <c r="F31" i="3" s="1"/>
  <c r="D34" i="3"/>
  <c r="F32" i="3"/>
  <c r="F34" i="3" s="1"/>
  <c r="D34" i="2"/>
  <c r="F30" i="2"/>
  <c r="F34" i="2" s="1"/>
  <c r="N43" i="5" l="1"/>
  <c r="F35" i="3"/>
  <c r="D35" i="3"/>
  <c r="F35" i="2"/>
  <c r="D3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<sst xmlns="http://schemas.openxmlformats.org/spreadsheetml/2006/main" count="344" uniqueCount="111">
  <si>
    <t>Coûts co-tutelles</t>
  </si>
  <si>
    <t xml:space="preserve">Références devis: </t>
  </si>
  <si>
    <t>Date :</t>
  </si>
  <si>
    <t>LABORATOIRE CLIENT</t>
  </si>
  <si>
    <t xml:space="preserve">LABORATOIRE CNRS </t>
  </si>
  <si>
    <t>Adresse</t>
  </si>
  <si>
    <t>Code division</t>
  </si>
  <si>
    <t>Délégation
(si Laboratoire hors DR12)</t>
  </si>
  <si>
    <t>LABORATOIRE PRESTATAIRE</t>
  </si>
  <si>
    <t>CNRS Délégation Régionale Provence et Corse
31 chemin Joseph Aiguier - CS 70071 - 13402 MARSEILLE  CEDEX 20
SIRET  180 089 013 01724</t>
  </si>
  <si>
    <r>
      <t xml:space="preserve">Pour le laboratoire client 
</t>
    </r>
    <r>
      <rPr>
        <sz val="12"/>
        <color theme="1"/>
        <rFont val="Calibri"/>
        <family val="2"/>
        <scheme val="minor"/>
      </rPr>
      <t>(Nom, mail)</t>
    </r>
  </si>
  <si>
    <r>
      <t xml:space="preserve">Pour le laboratoire prestataire 
</t>
    </r>
    <r>
      <rPr>
        <sz val="12"/>
        <color theme="1"/>
        <rFont val="Calibri"/>
        <family val="2"/>
        <scheme val="minor"/>
      </rPr>
      <t>(Nom, mail)</t>
    </r>
  </si>
  <si>
    <t>DETAIL DE LA PRESTATION</t>
  </si>
  <si>
    <t>Quantité</t>
  </si>
  <si>
    <t>Décision tarifaire (Réf.) :</t>
  </si>
  <si>
    <t xml:space="preserve"> </t>
  </si>
  <si>
    <t>MODALITES DE PRISE EN CHARGE</t>
  </si>
  <si>
    <t>Consommables &amp; Fournitures</t>
  </si>
  <si>
    <t>Sous-traitance</t>
  </si>
  <si>
    <t>Amortissements</t>
  </si>
  <si>
    <t>Frais d'infrastructure &amp; Autres dépenses</t>
  </si>
  <si>
    <t>Frais de personnels permanents CNRS</t>
  </si>
  <si>
    <t xml:space="preserve">Tarif unitaire HT </t>
  </si>
  <si>
    <t>Prix  HT</t>
  </si>
  <si>
    <t>Frais de siège</t>
  </si>
  <si>
    <t>Coûts de co-tutelle</t>
  </si>
  <si>
    <t>Total coûts Eligibles ANR</t>
  </si>
  <si>
    <t>Total coûts Eligibles Europe</t>
  </si>
  <si>
    <t>Total coûts non éligibles Europe</t>
  </si>
  <si>
    <t>Prix total de la prestation</t>
  </si>
  <si>
    <t>DEVIS DE PRESTATION DE SERVICE</t>
  </si>
  <si>
    <t>Date et signature du laboratoire prestataire</t>
  </si>
  <si>
    <t xml:space="preserve">   Date et signature du laboratoire prestataire</t>
  </si>
  <si>
    <t>Frais de personnels non permanents CNRS</t>
  </si>
  <si>
    <t>Total coûts non éligibles ANR</t>
  </si>
  <si>
    <t>SUBVENTION ANR</t>
  </si>
  <si>
    <r>
      <rPr>
        <u/>
        <sz val="12"/>
        <color theme="1"/>
        <rFont val="Calibri"/>
        <family val="2"/>
        <scheme val="minor"/>
      </rPr>
      <t>En cas de financement hors CNRS</t>
    </r>
    <r>
      <rPr>
        <sz val="12"/>
        <color theme="1"/>
        <rFont val="Calibri"/>
        <family val="2"/>
        <scheme val="minor"/>
      </rPr>
      <t xml:space="preserve"> :</t>
    </r>
  </si>
  <si>
    <t>Les informations indiquées se dupliquent automatiquement du devis général aux autres devis</t>
  </si>
  <si>
    <t>Se reporter à l'onglet Devis général</t>
  </si>
  <si>
    <t>CONTACTS</t>
  </si>
  <si>
    <t>- Acceptation du devis par le laboratoire client (avec mention bon pour accord).
- Emission du bon de commande par le laboratoire client.
- Réalisation de la prestation par le laboratoire prestataire.
- Saisie du service fait par le laboratoire client.
- Le laboratoire prestataire dépose la demande de facturation accompagnée des pièces justificatives (bon de commande, devis, demande de facturation) dans l'espace Core Recettes.
Le SFAC émet le titre de recette et le transmet au pôle dépenses de la délégation du laboratoire client.
Le paiement de la facture intervient lors du rapprochement automatique mensuel (Consommation des CP).</t>
  </si>
  <si>
    <t>LA PLATEFORME</t>
  </si>
  <si>
    <t>LE CLIENT</t>
  </si>
  <si>
    <t>Indiquer la mention manuscrite, dater et signer l'encart jaune.</t>
  </si>
  <si>
    <t>Compléter les cellules bleutées.</t>
  </si>
  <si>
    <t>1- si financement ANR : se reporter à l'onglet Devis ANR ( séparation des coûts éligibles des coûts non éligiblies )</t>
  </si>
  <si>
    <r>
      <rPr>
        <b/>
        <sz val="12"/>
        <color theme="1"/>
        <rFont val="Calibri"/>
        <family val="2"/>
        <scheme val="minor"/>
      </rPr>
      <t>Client interne</t>
    </r>
    <r>
      <rPr>
        <sz val="12"/>
        <color theme="1"/>
        <rFont val="Calibri"/>
        <family val="2"/>
        <scheme val="minor"/>
      </rPr>
      <t xml:space="preserve"> : unité sous tutelle CNRS</t>
    </r>
  </si>
  <si>
    <r>
      <rPr>
        <b/>
        <sz val="12"/>
        <color theme="1"/>
        <rFont val="Calibri"/>
        <family val="2"/>
        <scheme val="minor"/>
      </rPr>
      <t>Client partenaire</t>
    </r>
    <r>
      <rPr>
        <sz val="12"/>
        <color theme="1"/>
        <rFont val="Calibri"/>
        <family val="2"/>
        <scheme val="minor"/>
      </rPr>
      <t xml:space="preserve"> : unité non CNRS mais dont une tutelle est commune avec la plateforme</t>
    </r>
  </si>
  <si>
    <t>ACTIONS A MENER PAR:</t>
  </si>
  <si>
    <t>RAPPEL DE LA TYPOLOGIE CLIENT:</t>
  </si>
  <si>
    <t xml:space="preserve">DEVIS DE PRESTATION INTERNE </t>
  </si>
  <si>
    <r>
      <rPr>
        <u/>
        <sz val="12"/>
        <color theme="1"/>
        <rFont val="Calibri"/>
        <family val="2"/>
        <scheme val="minor"/>
      </rPr>
      <t>En cas de financement CNRS (Prestations Internes)</t>
    </r>
    <r>
      <rPr>
        <sz val="12"/>
        <color theme="1"/>
        <rFont val="Calibri"/>
        <family val="2"/>
        <scheme val="minor"/>
      </rPr>
      <t xml:space="preserve"> :</t>
    </r>
  </si>
  <si>
    <t>Date et signature du laboratoire client précédées de la mention manuscrite 
"Bon pour accord"</t>
  </si>
  <si>
    <t xml:space="preserve">  Date et signature du laboratoire client précédées de la mention manuscrite 
"Bon pour accord"</t>
  </si>
  <si>
    <t>3- si financement hors ANR et Union Européenne : se reporter à l'onglet devis général</t>
  </si>
  <si>
    <t>2- si financement Horizon Europe : se reporter à l'onglet Devis HE ( séparation des coûts éligibles des coûts non éligiblies )</t>
  </si>
  <si>
    <t>Bon de commande hors CNRS :  TVA à 20% à appliquer</t>
  </si>
  <si>
    <t xml:space="preserve">NOTICE D'UTILISATION DU DEVIS RELATIF AUX PRESTATIONS DE SERVICE INTERNES
SOUMISES A UNE DECISION TARIFAIRE AUDITABLE
 </t>
  </si>
  <si>
    <t>SUBVENTION HORIZON EUROPE</t>
  </si>
  <si>
    <t>Clients externes académiques</t>
  </si>
  <si>
    <t>Clients partenaires</t>
  </si>
  <si>
    <t xml:space="preserve">Facturation interne </t>
  </si>
  <si>
    <t>Tb 3 COÛT COMPLET PAR UNITE D'ŒUVRE</t>
  </si>
  <si>
    <t>POSTES DE CHARGES</t>
  </si>
  <si>
    <t>MONTANT UNITAIRE</t>
  </si>
  <si>
    <t>A - Consommables &amp; Fournitures</t>
  </si>
  <si>
    <t>B Sous-traitance</t>
  </si>
  <si>
    <t>C - Amortissements</t>
  </si>
  <si>
    <t xml:space="preserve">D - Frais de personnels permanents CNRS </t>
  </si>
  <si>
    <t>D - Frais de personnels non permanents CNRS</t>
  </si>
  <si>
    <t>E- Frais d'infrastructure &amp; Autres dépenses</t>
  </si>
  <si>
    <t xml:space="preserve">F - Frais de siège </t>
  </si>
  <si>
    <t xml:space="preserve">TOTAL Coût complet par unité d'oeuvre : </t>
  </si>
  <si>
    <t xml:space="preserve">TOTAL COÛT COMPLET </t>
  </si>
  <si>
    <t xml:space="preserve">TOTAL COÛT COMPLET PHASE BROYAGE </t>
  </si>
  <si>
    <t>TOTAL COÛT COMPLET PHASE PURETE</t>
  </si>
  <si>
    <t>TOTAL COÛT COMPLET PHASE EXTRACTION</t>
  </si>
  <si>
    <t>TOTAL COÛT COMPLET PHASE ICP-Mesure Alu27</t>
  </si>
  <si>
    <t>Be et Alu</t>
  </si>
  <si>
    <t>Chlore</t>
  </si>
  <si>
    <t>TOTAL COÛT COMPLET Chlore Carbonate</t>
  </si>
  <si>
    <t>TOTAL COÛT COMPLET CHLORE SILICATE</t>
  </si>
  <si>
    <t>TOTAL COÛT COMPLET PHASE Extraction Chlore Carbonate</t>
  </si>
  <si>
    <t>TOTAL COÛT COMPLET PHASE Extraction Chlore Silicate</t>
  </si>
  <si>
    <t>TOTAL COÛT COMPLET PHASE Mesure ICP Ca-Mg-K</t>
  </si>
  <si>
    <t>Be</t>
  </si>
  <si>
    <t>Al</t>
  </si>
  <si>
    <t>Al+Be</t>
  </si>
  <si>
    <t>Chlore Carbonate</t>
  </si>
  <si>
    <t>Chlore Silicate</t>
  </si>
  <si>
    <t>Broyage</t>
  </si>
  <si>
    <t>Purification</t>
  </si>
  <si>
    <t>Extraction</t>
  </si>
  <si>
    <t>OUI</t>
  </si>
  <si>
    <t>NON</t>
  </si>
  <si>
    <t>Element</t>
  </si>
  <si>
    <t xml:space="preserve">Cotutelle CNRS </t>
  </si>
  <si>
    <t>TVA</t>
  </si>
  <si>
    <t xml:space="preserve">CEREGE LN2C </t>
  </si>
  <si>
    <t>Av Louis Philibert, Europôle de l'Arbois BP80 13454 Aix en Provence Cedex 04</t>
  </si>
  <si>
    <t>UMR 7330</t>
  </si>
  <si>
    <t>Be+Al</t>
  </si>
  <si>
    <t>Mesure</t>
  </si>
  <si>
    <t>Be ou Al</t>
  </si>
  <si>
    <t>TOTAL COÛT COMPLET Mesure Be ou Al</t>
  </si>
  <si>
    <t>TOTAL COÛT COMPLET Mesure Chlore</t>
  </si>
  <si>
    <t>PREPARATION</t>
  </si>
  <si>
    <t>POUR BON DE COMMANDE</t>
  </si>
  <si>
    <t>Braucher Régis - ln2c@cerege.fr</t>
  </si>
  <si>
    <t>Date et signature du laboratoire prestataire.</t>
  </si>
  <si>
    <t>Blanc chimique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</si>
</sst>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9"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u/>
      <sz val="18"/>
      <color theme="1"/>
      <name val="Calibri"/>
      <family val="2"/>
      <scheme val="minor"/>
    </font>
    <font>
      <sz val="16"/>
      <color theme="1"/>
      <name val="Calibri"/>
      <family val="2"/>
      <scheme val="minor"/>
    </font>
    <font>
      <b/>
      <sz val="16"/>
      <color theme="4" tint="-0.249977111117893"/>
      <name val="Calibri"/>
      <family val="2"/>
      <scheme val="minor"/>
    </font>
    <font>
      <b/>
      <sz val="16"/>
      <color theme="1"/>
      <name val="Calibri"/>
      <family val="2"/>
      <scheme val="minor"/>
    </font>
    <font>
      <sz val="14"/>
      <name val="Calibri"/>
      <family val="2"/>
      <scheme val="minor"/>
    </font>
    <font>
      <sz val="12"/>
      <color theme="1"/>
      <name val="Calibri"/>
      <family val="2"/>
      <scheme val="minor"/>
    </font>
    <font>
      <i/>
      <sz val="16"/>
      <color theme="1"/>
      <name val="Calibri"/>
      <family val="2"/>
      <scheme val="minor"/>
    </font>
    <font>
      <b/>
      <sz val="14"/>
      <color theme="1"/>
      <name val="Calibri"/>
      <family val="2"/>
      <scheme val="minor"/>
    </font>
    <font>
      <u/>
      <sz val="14"/>
      <color theme="1"/>
      <name val="Calibri"/>
      <family val="2"/>
      <scheme val="minor"/>
    </font>
    <font>
      <sz val="14"/>
      <color rgb="FF7030A0"/>
      <name val="Calibri"/>
      <family val="2"/>
      <scheme val="minor"/>
    </font>
    <font>
      <b/>
      <sz val="14"/>
      <color rgb="FF7030A0"/>
      <name val="Calibri"/>
      <family val="2"/>
      <scheme val="minor"/>
    </font>
    <font>
      <b/>
      <sz val="14"/>
      <name val="Calibri"/>
      <family val="2"/>
      <scheme val="minor"/>
    </font>
    <font>
      <u/>
      <sz val="14"/>
      <name val="Calibri"/>
      <family val="2"/>
      <scheme val="minor"/>
    </font>
    <font>
      <sz val="14"/>
      <color theme="5" tint="-0.499984740745262"/>
      <name val="Calibri"/>
      <family val="2"/>
      <scheme val="minor"/>
    </font>
    <font>
      <b/>
      <sz val="14"/>
      <color theme="5" tint="-0.499984740745262"/>
      <name val="Calibri"/>
      <family val="2"/>
      <scheme val="minor"/>
    </font>
    <font>
      <u/>
      <sz val="12"/>
      <name val="Calibri"/>
      <family val="2"/>
      <scheme val="minor"/>
    </font>
    <font>
      <b/>
      <sz val="18"/>
      <color theme="1"/>
      <name val="Calibri"/>
      <family val="2"/>
      <scheme val="minor"/>
    </font>
    <font>
      <u/>
      <sz val="16"/>
      <color theme="1"/>
      <name val="Calibri"/>
      <family val="2"/>
      <scheme val="minor"/>
    </font>
    <font>
      <u/>
      <sz val="12"/>
      <color theme="1"/>
      <name val="Calibri"/>
      <family val="2"/>
      <scheme val="minor"/>
    </font>
    <font>
      <b/>
      <sz val="12"/>
      <color theme="1"/>
      <name val="Calibri"/>
      <family val="2"/>
      <scheme val="minor"/>
    </font>
    <font>
      <b/>
      <u/>
      <sz val="14"/>
      <color theme="1"/>
      <name val="Calibri"/>
      <family val="2"/>
      <scheme val="minor"/>
    </font>
    <font>
      <b/>
      <sz val="16"/>
      <color rgb="FFFF0000"/>
      <name val="Calibri"/>
      <family val="2"/>
      <scheme val="minor"/>
    </font>
    <font>
      <b/>
      <u/>
      <sz val="16"/>
      <color rgb="FFFF0000"/>
      <name val="Calibri"/>
      <family val="2"/>
      <scheme val="minor"/>
    </font>
    <font>
      <sz val="20"/>
      <color theme="1"/>
      <name val="Calibri"/>
      <family val="2"/>
      <scheme val="minor"/>
    </font>
    <font>
      <b/>
      <sz val="14"/>
      <color indexed="8"/>
      <name val="Calibri"/>
      <family val="2"/>
      <scheme val="minor"/>
    </font>
    <font>
      <b/>
      <sz val="11"/>
      <color theme="1"/>
      <name val="Calibri"/>
      <family val="2"/>
      <scheme val="minor"/>
    </font>
    <font>
      <b/>
      <sz val="20"/>
      <color theme="1"/>
      <name val="Calibri"/>
      <family val="2"/>
      <scheme val="minor"/>
    </font>
    <font>
      <b/>
      <sz val="24"/>
      <color theme="1"/>
      <name val="Calibri"/>
      <family val="2"/>
      <scheme val="minor"/>
    </font>
    <font>
      <b/>
      <sz val="14"/>
      <color theme="0"/>
      <name val="Calibri"/>
      <family val="2"/>
      <scheme val="minor"/>
    </font>
    <font>
      <sz val="14"/>
      <color theme="0"/>
      <name val="Calibri"/>
      <family val="2"/>
      <scheme val="minor"/>
    </font>
    <font>
      <sz val="11"/>
      <name val="Calibri"/>
      <family val="2"/>
      <scheme val="minor"/>
    </font>
    <font>
      <b/>
      <sz val="22"/>
      <color rgb="FFFF0000"/>
      <name val="Calibri (Corps)"/>
    </font>
    <font>
      <sz val="22"/>
      <color rgb="FFFF0000"/>
      <name val="Calibri"/>
      <family val="2"/>
      <scheme val="minor"/>
    </font>
    <font>
      <b/>
      <sz val="11"/>
      <color theme="0"/>
      <name val="Calibri"/>
      <family val="2"/>
      <scheme val="minor"/>
    </font>
    <font>
      <b/>
      <sz val="26"/>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1"/>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5" tint="0.39997558519241921"/>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5">
    <xf numFmtId="0" fontId="0" fillId="0" borderId="0" xfId="0"/>
    <xf numFmtId="0" fontId="5" fillId="0" borderId="0" xfId="0" applyFont="1"/>
    <xf numFmtId="0" fontId="5" fillId="0" borderId="0" xfId="0" applyFont="1" applyAlignment="1">
      <alignment horizontal="right" vertical="top"/>
    </xf>
    <xf numFmtId="0" fontId="5" fillId="0" borderId="0" xfId="0" applyFont="1" applyAlignment="1">
      <alignment horizontal="right"/>
    </xf>
    <xf numFmtId="0" fontId="6" fillId="0" borderId="7" xfId="0" applyFont="1" applyBorder="1" applyAlignment="1">
      <alignment vertical="center"/>
    </xf>
    <xf numFmtId="0" fontId="3" fillId="0" borderId="8" xfId="0" applyFont="1" applyBorder="1" applyAlignment="1">
      <alignment vertical="center" wrapText="1"/>
    </xf>
    <xf numFmtId="0" fontId="5" fillId="0" borderId="10" xfId="0" applyFont="1" applyBorder="1" applyAlignment="1">
      <alignment vertical="top"/>
    </xf>
    <xf numFmtId="0" fontId="3" fillId="0" borderId="3"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top" wrapText="1"/>
    </xf>
    <xf numFmtId="0" fontId="5" fillId="0" borderId="13" xfId="0" applyFont="1" applyBorder="1" applyAlignment="1">
      <alignment vertical="top"/>
    </xf>
    <xf numFmtId="0" fontId="6" fillId="0" borderId="0" xfId="0" applyFont="1" applyAlignment="1">
      <alignment vertical="center"/>
    </xf>
    <xf numFmtId="0" fontId="5" fillId="0" borderId="0" xfId="0" applyFont="1" applyAlignment="1">
      <alignment horizontal="left" vertical="top"/>
    </xf>
    <xf numFmtId="0" fontId="5" fillId="0" borderId="0" xfId="0" applyFont="1" applyAlignment="1">
      <alignment horizontal="left"/>
    </xf>
    <xf numFmtId="164" fontId="5" fillId="0" borderId="0" xfId="0" applyNumberFormat="1" applyFont="1" applyAlignment="1">
      <alignment horizontal="center" vertical="center"/>
    </xf>
    <xf numFmtId="4" fontId="5" fillId="0" borderId="0" xfId="0" applyNumberFormat="1" applyFont="1"/>
    <xf numFmtId="4" fontId="0" fillId="0" borderId="0" xfId="0" applyNumberFormat="1"/>
    <xf numFmtId="0" fontId="5" fillId="0" borderId="0" xfId="0" applyFont="1" applyAlignment="1">
      <alignment horizontal="left" vertical="top" wrapText="1"/>
    </xf>
    <xf numFmtId="0" fontId="3" fillId="0" borderId="25" xfId="0" applyFont="1" applyBorder="1" applyAlignment="1">
      <alignment horizontal="center" vertical="center"/>
    </xf>
    <xf numFmtId="0" fontId="10" fillId="0" borderId="26" xfId="0" applyFont="1" applyBorder="1"/>
    <xf numFmtId="0" fontId="5" fillId="0" borderId="4" xfId="0" applyFont="1" applyBorder="1"/>
    <xf numFmtId="0" fontId="5" fillId="2" borderId="26"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27" xfId="0" applyFont="1" applyFill="1" applyBorder="1" applyAlignment="1" applyProtection="1">
      <alignment horizontal="left" vertical="top"/>
      <protection locked="0"/>
    </xf>
    <xf numFmtId="0" fontId="5" fillId="2" borderId="28" xfId="0" applyFont="1" applyFill="1" applyBorder="1" applyAlignment="1" applyProtection="1">
      <alignment horizontal="left" vertical="top"/>
      <protection locked="0"/>
    </xf>
    <xf numFmtId="0" fontId="12" fillId="0" borderId="0" xfId="0" applyFont="1"/>
    <xf numFmtId="0" fontId="7"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xf>
    <xf numFmtId="164" fontId="3" fillId="0" borderId="0" xfId="0" applyNumberFormat="1" applyFont="1" applyAlignment="1">
      <alignment horizontal="center" vertical="center" wrapText="1"/>
    </xf>
    <xf numFmtId="164" fontId="11"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164" fontId="11" fillId="0" borderId="0" xfId="0" applyNumberFormat="1" applyFont="1" applyAlignment="1">
      <alignment horizontal="center" vertical="center" wrapText="1"/>
    </xf>
    <xf numFmtId="0" fontId="3" fillId="0" borderId="37" xfId="0" applyFont="1" applyBorder="1" applyAlignment="1">
      <alignment horizontal="center" vertical="center" wrapText="1"/>
    </xf>
    <xf numFmtId="164" fontId="3" fillId="0" borderId="32" xfId="0" applyNumberFormat="1" applyFont="1" applyBorder="1" applyAlignment="1">
      <alignment horizontal="center" vertical="center" wrapText="1"/>
    </xf>
    <xf numFmtId="0" fontId="5" fillId="0" borderId="0" xfId="0" applyFont="1" applyAlignment="1">
      <alignment vertical="top"/>
    </xf>
    <xf numFmtId="0" fontId="3" fillId="0" borderId="0" xfId="0" applyFont="1" applyAlignment="1">
      <alignment wrapText="1"/>
    </xf>
    <xf numFmtId="0" fontId="7" fillId="0" borderId="23" xfId="0" applyFont="1" applyBorder="1" applyAlignment="1">
      <alignment horizontal="center" vertical="center"/>
    </xf>
    <xf numFmtId="164" fontId="13" fillId="0" borderId="31" xfId="0" applyNumberFormat="1" applyFont="1" applyBorder="1" applyAlignment="1">
      <alignment horizontal="center" vertical="center" wrapText="1"/>
    </xf>
    <xf numFmtId="164" fontId="13" fillId="0" borderId="38" xfId="0" applyNumberFormat="1" applyFont="1" applyBorder="1" applyAlignment="1">
      <alignment horizontal="center" vertical="center" wrapText="1"/>
    </xf>
    <xf numFmtId="0" fontId="3" fillId="5" borderId="6" xfId="0" applyFont="1" applyFill="1" applyBorder="1" applyAlignment="1" applyProtection="1">
      <alignment horizontal="center" vertical="center"/>
      <protection locked="0"/>
    </xf>
    <xf numFmtId="164" fontId="14" fillId="5" borderId="32" xfId="0" applyNumberFormat="1" applyFont="1" applyFill="1" applyBorder="1" applyAlignment="1" applyProtection="1">
      <alignment horizontal="center" vertical="center"/>
      <protection locked="0"/>
    </xf>
    <xf numFmtId="0" fontId="16" fillId="0" borderId="0" xfId="0" applyFont="1" applyAlignment="1">
      <alignment horizontal="left" vertical="top"/>
    </xf>
    <xf numFmtId="0" fontId="7" fillId="0" borderId="18" xfId="0" applyFont="1" applyBorder="1" applyAlignment="1">
      <alignment horizontal="center" vertical="center"/>
    </xf>
    <xf numFmtId="0" fontId="11" fillId="4" borderId="23" xfId="0" applyFont="1" applyFill="1" applyBorder="1" applyAlignment="1">
      <alignment horizontal="center" vertical="center"/>
    </xf>
    <xf numFmtId="0" fontId="3" fillId="6" borderId="6" xfId="0" applyFont="1" applyFill="1" applyBorder="1" applyAlignment="1">
      <alignment horizontal="center" vertical="center" wrapText="1"/>
    </xf>
    <xf numFmtId="164" fontId="11" fillId="6" borderId="32" xfId="0" applyNumberFormat="1" applyFont="1" applyFill="1" applyBorder="1" applyAlignment="1">
      <alignment horizontal="center" vertical="center" wrapText="1"/>
    </xf>
    <xf numFmtId="0" fontId="3" fillId="6" borderId="6" xfId="0" applyFont="1" applyFill="1" applyBorder="1" applyAlignment="1" applyProtection="1">
      <alignment horizontal="center" vertical="center"/>
      <protection locked="0"/>
    </xf>
    <xf numFmtId="164" fontId="11" fillId="6" borderId="32" xfId="0" applyNumberFormat="1" applyFont="1" applyFill="1" applyBorder="1" applyAlignment="1" applyProtection="1">
      <alignment horizontal="center" vertical="center"/>
      <protection locked="0"/>
    </xf>
    <xf numFmtId="0" fontId="8" fillId="0" borderId="5" xfId="0" applyFont="1" applyBorder="1" applyAlignment="1">
      <alignment vertical="center" wrapText="1"/>
    </xf>
    <xf numFmtId="0" fontId="0" fillId="0" borderId="0" xfId="0" applyAlignment="1">
      <alignment wrapText="1"/>
    </xf>
    <xf numFmtId="0" fontId="10" fillId="0" borderId="26" xfId="0" applyFont="1" applyBorder="1" applyAlignment="1">
      <alignment vertical="top"/>
    </xf>
    <xf numFmtId="0" fontId="3" fillId="0" borderId="24" xfId="0" applyFont="1" applyBorder="1" applyAlignment="1">
      <alignment horizontal="left" vertical="center"/>
    </xf>
    <xf numFmtId="164" fontId="14" fillId="5" borderId="36" xfId="0" applyNumberFormat="1" applyFont="1" applyFill="1" applyBorder="1" applyAlignment="1">
      <alignment horizontal="center" vertical="center" wrapText="1"/>
    </xf>
    <xf numFmtId="164" fontId="11" fillId="6" borderId="36" xfId="0" applyNumberFormat="1" applyFont="1" applyFill="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5" borderId="47" xfId="0" applyFont="1" applyFill="1" applyBorder="1" applyAlignment="1">
      <alignment horizontal="center" vertical="center"/>
    </xf>
    <xf numFmtId="0" fontId="3" fillId="5" borderId="47" xfId="0" applyFont="1" applyFill="1" applyBorder="1" applyAlignment="1">
      <alignment horizontal="center" vertical="center"/>
    </xf>
    <xf numFmtId="0" fontId="11" fillId="6" borderId="47" xfId="0" applyFont="1" applyFill="1" applyBorder="1" applyAlignment="1">
      <alignment horizontal="center" vertical="center"/>
    </xf>
    <xf numFmtId="0" fontId="3" fillId="4" borderId="47" xfId="0" applyFont="1" applyFill="1" applyBorder="1" applyAlignment="1">
      <alignment horizontal="center" vertical="center"/>
    </xf>
    <xf numFmtId="0" fontId="3" fillId="6" borderId="47" xfId="0" applyFont="1" applyFill="1" applyBorder="1" applyAlignment="1">
      <alignment horizontal="center" vertical="center"/>
    </xf>
    <xf numFmtId="164" fontId="3" fillId="2" borderId="6" xfId="0" applyNumberFormat="1" applyFont="1" applyFill="1" applyBorder="1" applyAlignment="1">
      <alignment horizontal="center" vertical="center" wrapText="1"/>
    </xf>
    <xf numFmtId="164" fontId="17" fillId="0" borderId="9" xfId="0" applyNumberFormat="1" applyFont="1" applyBorder="1" applyAlignment="1">
      <alignment horizontal="center" vertical="center" wrapText="1"/>
    </xf>
    <xf numFmtId="164" fontId="17" fillId="0" borderId="31" xfId="0" applyNumberFormat="1" applyFont="1" applyBorder="1" applyAlignment="1">
      <alignment horizontal="center" vertical="center" wrapText="1"/>
    </xf>
    <xf numFmtId="164" fontId="18" fillId="5" borderId="36" xfId="0" applyNumberFormat="1" applyFont="1" applyFill="1" applyBorder="1" applyAlignment="1">
      <alignment horizontal="center" vertical="center" wrapText="1"/>
    </xf>
    <xf numFmtId="164" fontId="17" fillId="0" borderId="35" xfId="0" applyNumberFormat="1" applyFont="1" applyBorder="1" applyAlignment="1">
      <alignment horizontal="center" vertical="center" wrapText="1"/>
    </xf>
    <xf numFmtId="164" fontId="18" fillId="5" borderId="32" xfId="0" applyNumberFormat="1" applyFont="1" applyFill="1" applyBorder="1" applyAlignment="1">
      <alignment horizontal="center" vertical="center" wrapText="1"/>
    </xf>
    <xf numFmtId="0" fontId="17" fillId="0" borderId="43" xfId="0" applyFont="1" applyBorder="1" applyAlignment="1">
      <alignment horizontal="left" vertical="center"/>
    </xf>
    <xf numFmtId="0" fontId="17" fillId="0" borderId="29" xfId="0" applyFont="1" applyBorder="1" applyAlignment="1">
      <alignment horizontal="left" vertical="center"/>
    </xf>
    <xf numFmtId="0" fontId="17" fillId="0" borderId="39" xfId="0" applyFont="1" applyBorder="1" applyAlignment="1">
      <alignment horizontal="left" vertical="center"/>
    </xf>
    <xf numFmtId="0" fontId="13" fillId="0" borderId="43" xfId="0" applyFont="1" applyBorder="1" applyAlignment="1">
      <alignment horizontal="left" vertical="center"/>
    </xf>
    <xf numFmtId="0" fontId="13" fillId="0" borderId="29" xfId="0" applyFont="1" applyBorder="1" applyAlignment="1">
      <alignment horizontal="left" vertical="center"/>
    </xf>
    <xf numFmtId="0" fontId="13" fillId="0" borderId="39" xfId="0" applyFont="1" applyBorder="1" applyAlignment="1">
      <alignment horizontal="left" vertical="center"/>
    </xf>
    <xf numFmtId="0" fontId="14" fillId="4" borderId="22" xfId="0" applyFont="1" applyFill="1" applyBorder="1" applyAlignment="1">
      <alignment horizontal="left" vertical="center"/>
    </xf>
    <xf numFmtId="0" fontId="15" fillId="6" borderId="22" xfId="0" applyFont="1" applyFill="1" applyBorder="1" applyAlignment="1">
      <alignment horizontal="left" vertical="center"/>
    </xf>
    <xf numFmtId="0" fontId="18" fillId="5" borderId="22" xfId="0" applyFont="1" applyFill="1" applyBorder="1" applyAlignment="1">
      <alignment horizontal="left" vertical="center"/>
    </xf>
    <xf numFmtId="0" fontId="14" fillId="5" borderId="22" xfId="0" applyFont="1" applyFill="1" applyBorder="1" applyAlignment="1">
      <alignment horizontal="left" vertical="center"/>
    </xf>
    <xf numFmtId="0" fontId="11" fillId="6" borderId="22" xfId="0" applyFont="1" applyFill="1" applyBorder="1" applyAlignment="1">
      <alignment horizontal="left" vertical="center"/>
    </xf>
    <xf numFmtId="0" fontId="3" fillId="0" borderId="22" xfId="0" applyFont="1" applyBorder="1" applyAlignment="1">
      <alignment horizontal="left" vertical="center"/>
    </xf>
    <xf numFmtId="0" fontId="3" fillId="0" borderId="39" xfId="0" applyFont="1" applyBorder="1" applyAlignment="1">
      <alignment horizontal="left" vertical="center"/>
    </xf>
    <xf numFmtId="0" fontId="3" fillId="0" borderId="29" xfId="0" applyFont="1" applyBorder="1" applyAlignment="1">
      <alignment horizontal="left" vertical="center"/>
    </xf>
    <xf numFmtId="0" fontId="11" fillId="4" borderId="22" xfId="0" applyFont="1" applyFill="1" applyBorder="1" applyAlignment="1">
      <alignment horizontal="left" vertical="center"/>
    </xf>
    <xf numFmtId="0" fontId="7" fillId="0" borderId="0" xfId="0" applyFont="1"/>
    <xf numFmtId="0" fontId="9" fillId="0" borderId="0" xfId="0" applyFont="1"/>
    <xf numFmtId="0" fontId="20" fillId="0" borderId="0" xfId="0" applyFont="1"/>
    <xf numFmtId="0" fontId="21" fillId="0" borderId="0" xfId="0" applyFont="1"/>
    <xf numFmtId="14" fontId="5"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14" fontId="5" fillId="0" borderId="0" xfId="0" applyNumberFormat="1" applyFont="1" applyAlignment="1">
      <alignment horizontal="left" vertical="center"/>
    </xf>
    <xf numFmtId="164" fontId="17" fillId="0" borderId="41" xfId="0" applyNumberFormat="1" applyFont="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64" fontId="17" fillId="0" borderId="4" xfId="0" applyNumberFormat="1" applyFont="1" applyBorder="1" applyAlignment="1">
      <alignment horizontal="center" vertical="center" wrapText="1"/>
    </xf>
    <xf numFmtId="0" fontId="3" fillId="0" borderId="34" xfId="0" applyFont="1" applyBorder="1" applyAlignment="1" applyProtection="1">
      <alignment horizontal="center" vertical="center"/>
      <protection locked="0"/>
    </xf>
    <xf numFmtId="164" fontId="13" fillId="0" borderId="28" xfId="0" applyNumberFormat="1" applyFont="1" applyBorder="1" applyAlignment="1">
      <alignment horizontal="center" vertical="center" wrapText="1"/>
    </xf>
    <xf numFmtId="0" fontId="3" fillId="0" borderId="30" xfId="0" applyFont="1" applyBorder="1" applyAlignment="1" applyProtection="1">
      <alignment horizontal="center" vertical="center"/>
      <protection locked="0"/>
    </xf>
    <xf numFmtId="0" fontId="5" fillId="7" borderId="26" xfId="0" applyFont="1" applyFill="1" applyBorder="1" applyAlignment="1" applyProtection="1">
      <alignment horizontal="left" vertical="top"/>
      <protection locked="0"/>
    </xf>
    <xf numFmtId="0" fontId="5" fillId="7" borderId="4" xfId="0" applyFont="1" applyFill="1" applyBorder="1" applyAlignment="1" applyProtection="1">
      <alignment horizontal="left" vertical="top"/>
      <protection locked="0"/>
    </xf>
    <xf numFmtId="0" fontId="5" fillId="7" borderId="27" xfId="0" applyFont="1" applyFill="1" applyBorder="1" applyAlignment="1" applyProtection="1">
      <alignment horizontal="left" vertical="top"/>
      <protection locked="0"/>
    </xf>
    <xf numFmtId="0" fontId="5" fillId="7" borderId="28" xfId="0" applyFont="1" applyFill="1" applyBorder="1" applyAlignment="1" applyProtection="1">
      <alignment horizontal="left" vertical="top"/>
      <protection locked="0"/>
    </xf>
    <xf numFmtId="0" fontId="5" fillId="0" borderId="0" xfId="0" applyFont="1" applyAlignment="1" applyProtection="1">
      <alignment horizontal="left" vertical="top" wrapText="1"/>
      <protection locked="0"/>
    </xf>
    <xf numFmtId="14" fontId="5" fillId="0" borderId="0" xfId="0" applyNumberFormat="1" applyFont="1" applyAlignment="1" applyProtection="1">
      <alignment horizontal="left" vertical="top"/>
      <protection locked="0"/>
    </xf>
    <xf numFmtId="0" fontId="0" fillId="0" borderId="48" xfId="0" applyBorder="1"/>
    <xf numFmtId="0" fontId="0" fillId="0" borderId="44" xfId="0" applyBorder="1"/>
    <xf numFmtId="0" fontId="0" fillId="0" borderId="45" xfId="0" applyBorder="1"/>
    <xf numFmtId="0" fontId="0" fillId="0" borderId="18" xfId="0" applyBorder="1"/>
    <xf numFmtId="0" fontId="0" fillId="0" borderId="46" xfId="0" applyBorder="1"/>
    <xf numFmtId="0" fontId="9" fillId="0" borderId="29" xfId="0" applyFont="1" applyBorder="1"/>
    <xf numFmtId="0" fontId="9" fillId="0" borderId="39" xfId="0" applyFont="1" applyBorder="1"/>
    <xf numFmtId="0" fontId="9" fillId="0" borderId="18" xfId="0" applyFont="1" applyBorder="1"/>
    <xf numFmtId="0" fontId="7" fillId="7" borderId="43" xfId="0" applyFont="1" applyFill="1" applyBorder="1" applyAlignment="1">
      <alignment horizontal="left" vertical="center"/>
    </xf>
    <xf numFmtId="0" fontId="3" fillId="0" borderId="49" xfId="0" applyFont="1" applyBorder="1" applyAlignment="1">
      <alignment wrapText="1"/>
    </xf>
    <xf numFmtId="0" fontId="3" fillId="0" borderId="8" xfId="0" applyFont="1" applyBorder="1" applyAlignment="1">
      <alignment wrapText="1"/>
    </xf>
    <xf numFmtId="0" fontId="0" fillId="0" borderId="29" xfId="0" applyBorder="1"/>
    <xf numFmtId="0" fontId="24" fillId="0" borderId="0" xfId="0" applyFont="1"/>
    <xf numFmtId="0" fontId="7" fillId="0" borderId="0" xfId="0" applyFont="1" applyAlignment="1" applyProtection="1">
      <alignment vertical="center" wrapText="1"/>
      <protection locked="0"/>
    </xf>
    <xf numFmtId="0" fontId="3" fillId="0" borderId="6" xfId="0" applyFont="1" applyBorder="1" applyAlignment="1" applyProtection="1">
      <alignment horizontal="center" vertical="center"/>
      <protection locked="0"/>
    </xf>
    <xf numFmtId="0" fontId="7" fillId="7" borderId="48" xfId="0" applyFont="1" applyFill="1" applyBorder="1" applyAlignment="1">
      <alignment horizontal="left" vertical="center"/>
    </xf>
    <xf numFmtId="0" fontId="18" fillId="4" borderId="39" xfId="0" applyFont="1" applyFill="1" applyBorder="1" applyAlignment="1">
      <alignment horizontal="left" vertical="center"/>
    </xf>
    <xf numFmtId="0" fontId="7" fillId="4" borderId="46" xfId="0" applyFont="1" applyFill="1" applyBorder="1" applyAlignment="1">
      <alignment horizontal="center" vertical="center"/>
    </xf>
    <xf numFmtId="0" fontId="7" fillId="0" borderId="48" xfId="0" applyFont="1" applyBorder="1" applyAlignment="1">
      <alignment horizontal="center" vertical="center"/>
    </xf>
    <xf numFmtId="0" fontId="3" fillId="4" borderId="40" xfId="0" applyFont="1" applyFill="1" applyBorder="1" applyAlignment="1" applyProtection="1">
      <alignment horizontal="center" vertical="center"/>
      <protection locked="0"/>
    </xf>
    <xf numFmtId="164" fontId="17" fillId="0" borderId="50" xfId="0" applyNumberFormat="1" applyFont="1" applyBorder="1" applyAlignment="1">
      <alignment horizontal="center" vertical="center" wrapText="1"/>
    </xf>
    <xf numFmtId="164" fontId="17" fillId="0" borderId="11" xfId="0" applyNumberFormat="1" applyFont="1" applyBorder="1" applyAlignment="1">
      <alignment horizontal="center" vertical="center" wrapText="1"/>
    </xf>
    <xf numFmtId="0" fontId="3" fillId="0" borderId="5" xfId="0" applyFont="1" applyBorder="1" applyAlignment="1" applyProtection="1">
      <alignment horizontal="center" vertical="center"/>
      <protection locked="0"/>
    </xf>
    <xf numFmtId="164" fontId="17" fillId="0" borderId="14" xfId="0" applyNumberFormat="1" applyFont="1" applyBorder="1" applyAlignment="1">
      <alignment horizontal="center" vertical="center" wrapText="1"/>
    </xf>
    <xf numFmtId="164" fontId="18" fillId="4" borderId="4" xfId="0" applyNumberFormat="1" applyFont="1" applyFill="1" applyBorder="1" applyAlignment="1">
      <alignment horizontal="center" vertical="center" wrapText="1"/>
    </xf>
    <xf numFmtId="0" fontId="3" fillId="4" borderId="33" xfId="0" applyFont="1" applyFill="1" applyBorder="1" applyAlignment="1" applyProtection="1">
      <alignment horizontal="center" vertical="center"/>
      <protection locked="0"/>
    </xf>
    <xf numFmtId="164" fontId="18" fillId="4" borderId="35" xfId="0" applyNumberFormat="1" applyFont="1" applyFill="1" applyBorder="1" applyAlignment="1">
      <alignment horizontal="center" vertical="center" wrapText="1"/>
    </xf>
    <xf numFmtId="164" fontId="14" fillId="4" borderId="42" xfId="0" applyNumberFormat="1" applyFont="1" applyFill="1" applyBorder="1" applyAlignment="1">
      <alignment horizontal="center" vertical="center" wrapText="1"/>
    </xf>
    <xf numFmtId="164" fontId="14" fillId="4" borderId="38" xfId="0" applyNumberFormat="1" applyFont="1" applyFill="1" applyBorder="1" applyAlignment="1" applyProtection="1">
      <alignment horizontal="center" vertical="center"/>
      <protection locked="0"/>
    </xf>
    <xf numFmtId="164" fontId="13" fillId="0" borderId="50" xfId="0" applyNumberFormat="1" applyFont="1" applyBorder="1" applyAlignment="1" applyProtection="1">
      <alignment horizontal="center" vertical="center"/>
      <protection locked="0"/>
    </xf>
    <xf numFmtId="164" fontId="13" fillId="0" borderId="9" xfId="0" applyNumberFormat="1" applyFont="1" applyBorder="1" applyAlignment="1">
      <alignment horizontal="center" vertical="center" wrapText="1"/>
    </xf>
    <xf numFmtId="164" fontId="13" fillId="0" borderId="14" xfId="0" applyNumberFormat="1" applyFont="1" applyBorder="1" applyAlignment="1">
      <alignment horizontal="center" vertical="center" wrapText="1"/>
    </xf>
    <xf numFmtId="0" fontId="3" fillId="0" borderId="5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2" xfId="0" applyFont="1" applyBorder="1" applyAlignment="1">
      <alignment horizontal="center" vertical="center" wrapText="1"/>
    </xf>
    <xf numFmtId="0" fontId="25" fillId="0" borderId="0" xfId="0" applyFont="1" applyAlignment="1">
      <alignment horizontal="left" vertical="top"/>
    </xf>
    <xf numFmtId="0" fontId="11" fillId="8" borderId="0" xfId="0" applyFont="1" applyFill="1" applyAlignment="1">
      <alignment horizontal="left" vertical="center"/>
    </xf>
    <xf numFmtId="0" fontId="11" fillId="8" borderId="0" xfId="0" applyFont="1" applyFill="1" applyAlignment="1">
      <alignment horizontal="center" vertical="center"/>
    </xf>
    <xf numFmtId="164" fontId="11" fillId="8" borderId="0" xfId="0" applyNumberFormat="1" applyFont="1" applyFill="1" applyAlignment="1">
      <alignment horizontal="center" vertical="center" wrapText="1"/>
    </xf>
    <xf numFmtId="0" fontId="0" fillId="8" borderId="0" xfId="0" applyFill="1"/>
    <xf numFmtId="0" fontId="26" fillId="0" borderId="0" xfId="0" applyFont="1" applyAlignment="1">
      <alignment horizontal="left" vertical="top"/>
    </xf>
    <xf numFmtId="0" fontId="2" fillId="0" borderId="8" xfId="0" applyFont="1" applyBorder="1" applyAlignment="1">
      <alignment vertical="center" wrapText="1"/>
    </xf>
    <xf numFmtId="164" fontId="2" fillId="2" borderId="6" xfId="0" applyNumberFormat="1" applyFont="1" applyFill="1" applyBorder="1" applyAlignment="1">
      <alignment horizontal="center" vertical="center" wrapText="1"/>
    </xf>
    <xf numFmtId="0" fontId="7" fillId="9" borderId="34" xfId="0" applyFont="1" applyFill="1" applyBorder="1" applyAlignment="1" applyProtection="1">
      <alignment horizontal="center" vertical="center" wrapText="1"/>
      <protection locked="0"/>
    </xf>
    <xf numFmtId="0" fontId="7" fillId="15" borderId="0" xfId="0" applyFont="1" applyFill="1" applyAlignment="1">
      <alignment horizontal="center"/>
    </xf>
    <xf numFmtId="164" fontId="3" fillId="16" borderId="6" xfId="0" applyNumberFormat="1" applyFont="1" applyFill="1" applyBorder="1" applyAlignment="1">
      <alignment horizontal="center" vertical="center" wrapText="1"/>
    </xf>
    <xf numFmtId="164" fontId="11" fillId="19" borderId="38" xfId="0" applyNumberFormat="1" applyFont="1" applyFill="1" applyBorder="1" applyAlignment="1">
      <alignment horizontal="center" vertical="center" wrapText="1"/>
    </xf>
    <xf numFmtId="0" fontId="38" fillId="9" borderId="6" xfId="0" applyFont="1" applyFill="1" applyBorder="1" applyAlignment="1" applyProtection="1">
      <alignment horizontal="center" vertical="center"/>
      <protection locked="0"/>
    </xf>
    <xf numFmtId="164" fontId="37" fillId="20" borderId="3" xfId="0" applyNumberFormat="1" applyFont="1" applyFill="1" applyBorder="1"/>
    <xf numFmtId="0" fontId="37" fillId="20" borderId="0" xfId="0" applyFont="1" applyFill="1"/>
    <xf numFmtId="164" fontId="27" fillId="9" borderId="0" xfId="0" applyNumberFormat="1" applyFont="1" applyFill="1"/>
    <xf numFmtId="2" fontId="11" fillId="0" borderId="0" xfId="0" applyNumberFormat="1" applyFont="1"/>
    <xf numFmtId="2" fontId="29" fillId="0" borderId="0" xfId="0" applyNumberFormat="1" applyFont="1"/>
    <xf numFmtId="2" fontId="29" fillId="6" borderId="0" xfId="0" applyNumberFormat="1" applyFont="1" applyFill="1"/>
    <xf numFmtId="2" fontId="29" fillId="2" borderId="0" xfId="0" applyNumberFormat="1" applyFont="1" applyFill="1"/>
    <xf numFmtId="2" fontId="0" fillId="0" borderId="0" xfId="0" applyNumberFormat="1"/>
    <xf numFmtId="0" fontId="2" fillId="0" borderId="0" xfId="0" applyFont="1"/>
    <xf numFmtId="0" fontId="28" fillId="10" borderId="22"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 fillId="11" borderId="47"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 fillId="12" borderId="47" xfId="0" applyFont="1" applyFill="1" applyBorder="1" applyAlignment="1">
      <alignment horizontal="center" vertical="center" wrapText="1"/>
    </xf>
    <xf numFmtId="164" fontId="3" fillId="0" borderId="52" xfId="0" applyNumberFormat="1" applyFont="1" applyBorder="1" applyAlignment="1">
      <alignment horizontal="center" vertical="center" wrapText="1"/>
    </xf>
    <xf numFmtId="164" fontId="3" fillId="0" borderId="38"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164" fontId="3" fillId="0" borderId="31" xfId="0" applyNumberFormat="1" applyFont="1" applyBorder="1" applyAlignment="1">
      <alignment horizontal="center" vertical="center" wrapText="1"/>
    </xf>
    <xf numFmtId="0" fontId="3" fillId="4" borderId="6" xfId="0" applyFont="1" applyFill="1" applyBorder="1" applyAlignment="1">
      <alignment horizontal="center" vertical="center" wrapText="1"/>
    </xf>
    <xf numFmtId="164" fontId="20" fillId="12" borderId="31" xfId="0" applyNumberFormat="1" applyFont="1" applyFill="1" applyBorder="1" applyAlignment="1">
      <alignment horizontal="center" vertical="center" wrapText="1"/>
    </xf>
    <xf numFmtId="164" fontId="0" fillId="8" borderId="0" xfId="0" applyNumberFormat="1" applyFill="1"/>
    <xf numFmtId="0" fontId="30" fillId="14" borderId="43" xfId="0" applyFont="1" applyFill="1" applyBorder="1"/>
    <xf numFmtId="0" fontId="20" fillId="14" borderId="48" xfId="0" applyFont="1" applyFill="1" applyBorder="1" applyAlignment="1">
      <alignment horizontal="center"/>
    </xf>
    <xf numFmtId="164" fontId="20" fillId="14" borderId="44" xfId="0" applyNumberFormat="1" applyFont="1" applyFill="1" applyBorder="1" applyAlignment="1">
      <alignment horizontal="center"/>
    </xf>
    <xf numFmtId="0" fontId="20" fillId="14" borderId="39" xfId="0" applyFont="1" applyFill="1" applyBorder="1"/>
    <xf numFmtId="0" fontId="0" fillId="14" borderId="18" xfId="0" applyFill="1" applyBorder="1"/>
    <xf numFmtId="164" fontId="20" fillId="14" borderId="46" xfId="0" applyNumberFormat="1" applyFont="1" applyFill="1" applyBorder="1" applyAlignment="1">
      <alignment horizontal="center"/>
    </xf>
    <xf numFmtId="0" fontId="4" fillId="0" borderId="0" xfId="0" applyFont="1"/>
    <xf numFmtId="0" fontId="31" fillId="2" borderId="0" xfId="0" applyFont="1" applyFill="1" applyAlignment="1">
      <alignment vertical="center" wrapText="1"/>
    </xf>
    <xf numFmtId="0" fontId="7" fillId="2" borderId="43" xfId="0" applyFont="1" applyFill="1" applyBorder="1" applyAlignment="1" applyProtection="1">
      <alignment horizontal="left" vertical="top" wrapText="1"/>
      <protection locked="0"/>
    </xf>
    <xf numFmtId="0" fontId="7" fillId="2" borderId="48" xfId="0" applyFont="1" applyFill="1" applyBorder="1" applyAlignment="1" applyProtection="1">
      <alignment horizontal="left" vertical="top" wrapText="1"/>
      <protection locked="0"/>
    </xf>
    <xf numFmtId="0" fontId="20" fillId="0" borderId="22" xfId="0" applyFont="1" applyBorder="1" applyAlignment="1">
      <alignment horizontal="center" vertical="top" wrapText="1"/>
    </xf>
    <xf numFmtId="0" fontId="20" fillId="0" borderId="23" xfId="0" applyFont="1" applyBorder="1" applyAlignment="1">
      <alignment horizontal="center" vertical="top" wrapText="1"/>
    </xf>
    <xf numFmtId="0" fontId="20" fillId="0" borderId="47" xfId="0" applyFont="1" applyBorder="1" applyAlignment="1">
      <alignment horizontal="center" vertical="top" wrapText="1"/>
    </xf>
    <xf numFmtId="0" fontId="19" fillId="3" borderId="0" xfId="0" applyFont="1" applyFill="1" applyAlignment="1">
      <alignment horizontal="left" vertical="top"/>
    </xf>
    <xf numFmtId="49" fontId="9" fillId="3" borderId="0" xfId="0" applyNumberFormat="1" applyFont="1" applyFill="1" applyAlignment="1">
      <alignment horizontal="left" vertical="top" wrapText="1"/>
    </xf>
    <xf numFmtId="49" fontId="9" fillId="3" borderId="0" xfId="0" applyNumberFormat="1" applyFont="1" applyFill="1" applyAlignment="1">
      <alignment horizontal="left" vertical="top"/>
    </xf>
    <xf numFmtId="0" fontId="31" fillId="0" borderId="24" xfId="0" applyFont="1" applyBorder="1" applyAlignment="1">
      <alignment horizontal="center" wrapText="1" shrinkToFit="1"/>
    </xf>
    <xf numFmtId="0" fontId="0" fillId="0" borderId="25" xfId="0" applyBorder="1" applyAlignment="1">
      <alignment horizontal="center" shrinkToFi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7" fillId="11" borderId="18" xfId="0" applyFont="1" applyFill="1" applyBorder="1" applyAlignment="1">
      <alignment horizontal="center" vertical="center"/>
    </xf>
    <xf numFmtId="0" fontId="35" fillId="18" borderId="18" xfId="0" applyFont="1" applyFill="1" applyBorder="1" applyAlignment="1">
      <alignment horizontal="center" vertical="center"/>
    </xf>
    <xf numFmtId="0" fontId="36" fillId="18" borderId="18" xfId="0" applyFont="1" applyFill="1" applyBorder="1" applyAlignment="1">
      <alignment horizontal="center" vertical="center"/>
    </xf>
    <xf numFmtId="0" fontId="3" fillId="0" borderId="5" xfId="0" applyFont="1" applyBorder="1" applyAlignment="1">
      <alignment horizontal="left" vertical="top" wrapText="1"/>
    </xf>
    <xf numFmtId="0" fontId="5" fillId="0" borderId="5" xfId="0" applyFont="1" applyBorder="1" applyAlignment="1">
      <alignment horizontal="left" vertical="top" wrapText="1"/>
    </xf>
    <xf numFmtId="0" fontId="5" fillId="0" borderId="14" xfId="0" applyFont="1" applyBorder="1" applyAlignment="1">
      <alignment horizontal="left" vertical="top" wrapText="1"/>
    </xf>
    <xf numFmtId="0" fontId="4" fillId="0" borderId="0" xfId="0" applyFont="1" applyAlignment="1">
      <alignment horizontal="center" vertical="center"/>
    </xf>
    <xf numFmtId="0" fontId="32" fillId="17" borderId="22" xfId="0" applyFont="1" applyFill="1" applyBorder="1" applyAlignment="1">
      <alignment horizontal="center" vertical="center" wrapText="1"/>
    </xf>
    <xf numFmtId="0" fontId="33" fillId="17" borderId="47"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34" fillId="11" borderId="0" xfId="0" applyFont="1" applyFill="1"/>
    <xf numFmtId="0" fontId="28" fillId="2" borderId="2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 fillId="13" borderId="47" xfId="0" applyFont="1" applyFill="1" applyBorder="1" applyAlignment="1">
      <alignment horizontal="center" vertical="center" wrapText="1"/>
    </xf>
    <xf numFmtId="2" fontId="28" fillId="2" borderId="22" xfId="0" applyNumberFormat="1" applyFont="1" applyFill="1" applyBorder="1" applyAlignment="1">
      <alignment horizontal="center" vertical="center" wrapText="1"/>
    </xf>
    <xf numFmtId="2" fontId="11" fillId="2" borderId="47" xfId="0" applyNumberFormat="1" applyFont="1" applyFill="1" applyBorder="1" applyAlignment="1">
      <alignment horizontal="center" vertical="center" wrapText="1"/>
    </xf>
    <xf numFmtId="2" fontId="28" fillId="10" borderId="22" xfId="0" applyNumberFormat="1" applyFont="1" applyFill="1" applyBorder="1" applyAlignment="1">
      <alignment horizontal="center" vertical="center" wrapText="1"/>
    </xf>
    <xf numFmtId="2" fontId="11" fillId="10" borderId="47" xfId="0" applyNumberFormat="1" applyFont="1" applyFill="1" applyBorder="1" applyAlignment="1">
      <alignment horizontal="center" vertical="center" wrapText="1"/>
    </xf>
    <xf numFmtId="2" fontId="28" fillId="11" borderId="22" xfId="0" applyNumberFormat="1" applyFont="1" applyFill="1" applyBorder="1" applyAlignment="1">
      <alignment horizontal="center" vertical="center" wrapText="1"/>
    </xf>
    <xf numFmtId="2" fontId="11" fillId="11" borderId="47" xfId="0" applyNumberFormat="1" applyFont="1" applyFill="1" applyBorder="1" applyAlignment="1">
      <alignment horizontal="center" vertical="center" wrapText="1"/>
    </xf>
    <xf numFmtId="2" fontId="28" fillId="12" borderId="22" xfId="0" applyNumberFormat="1" applyFont="1" applyFill="1" applyBorder="1" applyAlignment="1">
      <alignment horizontal="center" vertical="center" wrapText="1"/>
    </xf>
    <xf numFmtId="2" fontId="11" fillId="12" borderId="47" xfId="0" applyNumberFormat="1" applyFont="1" applyFill="1" applyBorder="1" applyAlignment="1">
      <alignment horizontal="center" vertical="center" wrapText="1"/>
    </xf>
    <xf numFmtId="2" fontId="28" fillId="13" borderId="22" xfId="0" applyNumberFormat="1" applyFont="1" applyFill="1" applyBorder="1" applyAlignment="1">
      <alignment horizontal="center" vertical="center" wrapText="1"/>
    </xf>
    <xf numFmtId="2" fontId="11" fillId="13" borderId="47" xfId="0" applyNumberFormat="1" applyFont="1" applyFill="1" applyBorder="1" applyAlignment="1">
      <alignment horizontal="center" vertical="center" wrapText="1"/>
    </xf>
    <xf numFmtId="0" fontId="7" fillId="0" borderId="0" xfId="0" applyFont="1" applyAlignment="1" applyProtection="1">
      <alignment horizontal="left" vertical="top"/>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34"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1" fontId="5" fillId="0" borderId="3" xfId="0" applyNumberFormat="1" applyFont="1" applyBorder="1" applyAlignment="1" applyProtection="1">
      <alignment horizontal="left" vertical="center" wrapText="1"/>
      <protection locked="0"/>
    </xf>
    <xf numFmtId="1" fontId="5" fillId="0" borderId="11"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7" fillId="0" borderId="5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1" fontId="5" fillId="0" borderId="5" xfId="0" applyNumberFormat="1" applyFont="1" applyBorder="1" applyAlignment="1" applyProtection="1">
      <alignment horizontal="left" vertical="center" wrapText="1"/>
      <protection locked="0"/>
    </xf>
    <xf numFmtId="1" fontId="5" fillId="0" borderId="14" xfId="0" applyNumberFormat="1" applyFont="1" applyBorder="1" applyAlignment="1" applyProtection="1">
      <alignment horizontal="left" vertical="center" wrapText="1"/>
      <protection locked="0"/>
    </xf>
    <xf numFmtId="164" fontId="1" fillId="8" borderId="32" xfId="0" applyNumberFormat="1" applyFont="1" applyFill="1" applyBorder="1" applyAlignment="1">
      <alignment horizontal="center"/>
    </xf>
    <xf numFmtId="0" fontId="38" fillId="9" borderId="6" xfId="0" applyFont="1" applyFill="1" applyBorder="1" applyAlignment="1">
      <alignment horizontal="center"/>
    </xf>
    <xf numFmtId="0" fontId="30" fillId="21" borderId="22" xfId="0" applyFont="1" applyFill="1" applyBorder="1" applyAlignment="1">
      <alignment horizontal="center" vertical="center"/>
    </xf>
    <xf numFmtId="0" fontId="38" fillId="0" borderId="6" xfId="0" applyFont="1" applyFill="1" applyBorder="1" applyAlignment="1">
      <alignment horizontal="center"/>
    </xf>
    <xf numFmtId="0" fontId="3" fillId="0" borderId="3" xfId="0" applyFont="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1" fontId="5" fillId="2" borderId="3" xfId="0" applyNumberFormat="1" applyFont="1" applyFill="1" applyBorder="1" applyAlignment="1" applyProtection="1">
      <alignment horizontal="center" vertical="center" wrapText="1"/>
      <protection locked="0"/>
    </xf>
    <xf numFmtId="1" fontId="5" fillId="2" borderId="11" xfId="0" applyNumberFormat="1"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3" fillId="0" borderId="49" xfId="0" applyFont="1" applyBorder="1" applyAlignment="1">
      <alignment vertical="center" wrapText="1"/>
    </xf>
    <xf numFmtId="0" fontId="5" fillId="2" borderId="5"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7" fillId="9" borderId="8"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6</xdr:col>
      <xdr:colOff>203200</xdr:colOff>
      <xdr:row>11</xdr:row>
      <xdr:rowOff>0</xdr:rowOff>
    </xdr:from>
    <xdr:ext cx="5315045" cy="1970732"/>
    <xdr:sp macro="" textlink="">
      <xdr:nvSpPr>
        <xdr:cNvPr id="2" name="ZoneTexte 1">
          <a:extLst>
            <a:ext uri="{FF2B5EF4-FFF2-40B4-BE49-F238E27FC236}">
              <a16:creationId xmlns:a16="http://schemas.microsoft.com/office/drawing/2014/main" id="{50D946A3-3A6C-13E6-55B1-F154F96735D6}"/>
            </a:ext>
          </a:extLst>
        </xdr:cNvPr>
        <xdr:cNvSpPr txBox="1"/>
      </xdr:nvSpPr>
      <xdr:spPr>
        <a:xfrm>
          <a:off x="13095177" y="3234070"/>
          <a:ext cx="5315045" cy="197073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2400" b="1"/>
            <a:t>Les cases jaune sont à choix multiple et </a:t>
          </a:r>
        </a:p>
        <a:p>
          <a:r>
            <a:rPr lang="fr-FR" sz="2400" b="1"/>
            <a:t>à renseigner!</a:t>
          </a:r>
        </a:p>
        <a:p>
          <a:endParaRPr lang="fr-FR" sz="2400" b="1"/>
        </a:p>
        <a:p>
          <a:r>
            <a:rPr lang="fr-FR" sz="2400" b="1"/>
            <a:t>MERCI DE SIGNER CE DEVIS et de </a:t>
          </a:r>
        </a:p>
        <a:p>
          <a:r>
            <a:rPr lang="fr-FR" sz="2400" b="1"/>
            <a:t>le retourner avec un bon de commande.</a:t>
          </a:r>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1E8A-969D-45EC-B7C3-0369509B9CDD}">
  <sheetPr>
    <pageSetUpPr fitToPage="1"/>
  </sheetPr>
  <dimension ref="A1:V55"/>
  <sheetViews>
    <sheetView workbookViewId="0">
      <selection activeCell="L7" sqref="L7"/>
    </sheetView>
  </sheetViews>
  <sheetFormatPr baseColWidth="10" defaultRowHeight="15" x14ac:dyDescent="0.2"/>
  <cols>
    <col min="1" max="1" width="3.83203125" customWidth="1"/>
    <col min="9" max="9" width="10.5" customWidth="1"/>
    <col min="21" max="21" width="17.1640625" customWidth="1"/>
  </cols>
  <sheetData>
    <row r="1" spans="1:12" ht="16" thickBot="1" x14ac:dyDescent="0.25"/>
    <row r="2" spans="1:12" ht="48.75" customHeight="1" thickBot="1" x14ac:dyDescent="0.25">
      <c r="B2" s="188" t="s">
        <v>57</v>
      </c>
      <c r="C2" s="189"/>
      <c r="D2" s="189"/>
      <c r="E2" s="189"/>
      <c r="F2" s="189"/>
      <c r="G2" s="189"/>
      <c r="H2" s="189"/>
      <c r="I2" s="189"/>
      <c r="J2" s="189"/>
      <c r="K2" s="190"/>
    </row>
    <row r="3" spans="1:12" ht="24" x14ac:dyDescent="0.3">
      <c r="B3" s="88"/>
    </row>
    <row r="4" spans="1:12" ht="21" x14ac:dyDescent="0.25">
      <c r="B4" s="86"/>
    </row>
    <row r="5" spans="1:12" ht="19" x14ac:dyDescent="0.25">
      <c r="A5" t="s">
        <v>15</v>
      </c>
      <c r="B5" s="118" t="s">
        <v>49</v>
      </c>
    </row>
    <row r="7" spans="1:12" ht="16" x14ac:dyDescent="0.2">
      <c r="B7" s="87" t="s">
        <v>46</v>
      </c>
      <c r="C7" s="87"/>
      <c r="D7" s="87"/>
      <c r="E7" s="87"/>
      <c r="F7" s="87"/>
      <c r="G7" s="87"/>
      <c r="H7" s="87"/>
      <c r="I7" s="87"/>
    </row>
    <row r="8" spans="1:12" ht="16" x14ac:dyDescent="0.2">
      <c r="B8" s="87"/>
      <c r="C8" s="87"/>
      <c r="D8" s="87"/>
      <c r="E8" s="87"/>
      <c r="F8" s="87"/>
      <c r="G8" s="87"/>
      <c r="H8" s="87"/>
      <c r="I8" s="87"/>
    </row>
    <row r="9" spans="1:12" ht="16" x14ac:dyDescent="0.2">
      <c r="B9" s="87" t="s">
        <v>47</v>
      </c>
      <c r="C9" s="87"/>
      <c r="D9" s="87"/>
      <c r="E9" s="87"/>
      <c r="F9" s="87"/>
      <c r="G9" s="87"/>
      <c r="H9" s="87"/>
      <c r="I9" s="87"/>
    </row>
    <row r="10" spans="1:12" ht="16" x14ac:dyDescent="0.2">
      <c r="B10" s="87"/>
      <c r="C10" s="87"/>
      <c r="D10" s="87"/>
      <c r="E10" s="87"/>
      <c r="F10" s="87"/>
      <c r="G10" s="87"/>
      <c r="H10" s="87"/>
      <c r="I10" s="87"/>
    </row>
    <row r="11" spans="1:12" ht="16" x14ac:dyDescent="0.2">
      <c r="B11" s="87"/>
      <c r="C11" s="87"/>
      <c r="D11" s="87"/>
      <c r="E11" s="87"/>
      <c r="F11" s="87"/>
      <c r="G11" s="87"/>
      <c r="H11" s="87"/>
      <c r="I11" s="87"/>
    </row>
    <row r="12" spans="1:12" ht="19" x14ac:dyDescent="0.25">
      <c r="B12" s="118" t="s">
        <v>48</v>
      </c>
      <c r="C12" s="87"/>
      <c r="D12" s="87"/>
      <c r="E12" s="87"/>
      <c r="F12" s="87"/>
      <c r="G12" s="87"/>
      <c r="H12" s="87"/>
      <c r="I12" s="87"/>
    </row>
    <row r="13" spans="1:12" ht="16" thickBot="1" x14ac:dyDescent="0.25"/>
    <row r="14" spans="1:12" ht="21" x14ac:dyDescent="0.2">
      <c r="B14" s="186" t="s">
        <v>41</v>
      </c>
      <c r="C14" s="187"/>
      <c r="D14" s="106"/>
      <c r="E14" s="106"/>
      <c r="F14" s="106"/>
      <c r="G14" s="106"/>
      <c r="H14" s="106"/>
      <c r="I14" s="106"/>
      <c r="J14" s="106"/>
      <c r="K14" s="106"/>
      <c r="L14" s="107"/>
    </row>
    <row r="15" spans="1:12" ht="16" x14ac:dyDescent="0.2">
      <c r="B15" s="111"/>
      <c r="C15" s="87"/>
      <c r="D15" s="87"/>
      <c r="E15" s="87"/>
      <c r="F15" s="87"/>
      <c r="G15" s="87"/>
      <c r="H15" s="87"/>
      <c r="I15" s="87"/>
      <c r="L15" s="108"/>
    </row>
    <row r="16" spans="1:12" ht="16" x14ac:dyDescent="0.2">
      <c r="B16" s="111" t="s">
        <v>44</v>
      </c>
      <c r="C16" s="87"/>
      <c r="D16" s="87"/>
      <c r="E16" s="87"/>
      <c r="F16" s="87"/>
      <c r="G16" s="87"/>
      <c r="H16" s="87"/>
      <c r="I16" s="87"/>
      <c r="L16" s="108"/>
    </row>
    <row r="17" spans="2:19" ht="16" x14ac:dyDescent="0.2">
      <c r="B17" s="111"/>
      <c r="C17" s="87"/>
      <c r="D17" s="87"/>
      <c r="E17" s="87"/>
      <c r="F17" s="87"/>
      <c r="G17" s="87"/>
      <c r="H17" s="87"/>
      <c r="I17" s="87"/>
      <c r="L17" s="108"/>
    </row>
    <row r="18" spans="2:19" ht="16" x14ac:dyDescent="0.2">
      <c r="B18" s="111" t="s">
        <v>37</v>
      </c>
      <c r="C18" s="87"/>
      <c r="D18" s="87"/>
      <c r="E18" s="87"/>
      <c r="F18" s="87"/>
      <c r="G18" s="87"/>
      <c r="H18" s="87"/>
      <c r="I18" s="87"/>
      <c r="L18" s="108"/>
    </row>
    <row r="19" spans="2:19" ht="16" x14ac:dyDescent="0.2">
      <c r="B19" s="111"/>
      <c r="C19" s="87"/>
      <c r="D19" s="87"/>
      <c r="E19" s="87"/>
      <c r="F19" s="87"/>
      <c r="G19" s="87"/>
      <c r="H19" s="87"/>
      <c r="I19" s="87"/>
      <c r="L19" s="108"/>
    </row>
    <row r="20" spans="2:19" ht="16" x14ac:dyDescent="0.2">
      <c r="B20" s="111"/>
      <c r="C20" s="87"/>
      <c r="D20" s="87"/>
      <c r="E20" s="87"/>
      <c r="F20" s="87"/>
      <c r="G20" s="87"/>
      <c r="H20" s="87"/>
      <c r="I20" s="87"/>
      <c r="L20" s="108"/>
    </row>
    <row r="21" spans="2:19" ht="16" x14ac:dyDescent="0.2">
      <c r="B21" s="111"/>
      <c r="C21" s="87"/>
      <c r="D21" s="87"/>
      <c r="E21" s="87"/>
      <c r="F21" s="87"/>
      <c r="G21" s="87"/>
      <c r="H21" s="87"/>
      <c r="I21" s="87"/>
      <c r="L21" s="108"/>
    </row>
    <row r="22" spans="2:19" ht="16" x14ac:dyDescent="0.2">
      <c r="B22" s="111"/>
      <c r="C22" s="87"/>
      <c r="D22" s="87"/>
      <c r="E22" s="87"/>
      <c r="F22" s="87"/>
      <c r="G22" s="87"/>
      <c r="H22" s="87"/>
      <c r="I22" s="87"/>
      <c r="L22" s="108"/>
    </row>
    <row r="23" spans="2:19" ht="17" thickBot="1" x14ac:dyDescent="0.25">
      <c r="B23" s="112"/>
      <c r="C23" s="113"/>
      <c r="D23" s="113"/>
      <c r="E23" s="113"/>
      <c r="F23" s="113"/>
      <c r="G23" s="113"/>
      <c r="H23" s="113"/>
      <c r="I23" s="113"/>
      <c r="J23" s="109"/>
      <c r="K23" s="109"/>
      <c r="L23" s="110"/>
    </row>
    <row r="25" spans="2:19" ht="16" thickBot="1" x14ac:dyDescent="0.25"/>
    <row r="26" spans="2:19" ht="21" x14ac:dyDescent="0.2">
      <c r="B26" s="114" t="s">
        <v>42</v>
      </c>
      <c r="C26" s="121"/>
      <c r="D26" s="106"/>
      <c r="E26" s="106"/>
      <c r="F26" s="106"/>
      <c r="G26" s="106"/>
      <c r="H26" s="106"/>
      <c r="I26" s="106"/>
      <c r="J26" s="106"/>
      <c r="K26" s="106"/>
      <c r="L26" s="107"/>
    </row>
    <row r="27" spans="2:19" ht="16" x14ac:dyDescent="0.2">
      <c r="B27" s="111"/>
      <c r="C27" s="87"/>
      <c r="D27" s="87"/>
      <c r="E27" s="87"/>
      <c r="F27" s="87"/>
      <c r="G27" s="87"/>
      <c r="H27" s="87"/>
      <c r="I27" s="87"/>
      <c r="J27" s="87"/>
      <c r="L27" s="108"/>
    </row>
    <row r="28" spans="2:19" ht="16" x14ac:dyDescent="0.2">
      <c r="B28" s="111" t="s">
        <v>36</v>
      </c>
      <c r="C28" s="87"/>
      <c r="D28" s="87"/>
      <c r="E28" s="87"/>
      <c r="F28" s="87"/>
      <c r="G28" s="87"/>
      <c r="H28" s="87"/>
      <c r="I28" s="87"/>
      <c r="J28" s="87"/>
      <c r="L28" s="108"/>
      <c r="O28" s="87"/>
      <c r="P28" s="87"/>
      <c r="Q28" s="87"/>
      <c r="R28" s="87"/>
      <c r="S28" s="87"/>
    </row>
    <row r="29" spans="2:19" ht="16" x14ac:dyDescent="0.2">
      <c r="B29" s="111" t="s">
        <v>38</v>
      </c>
      <c r="C29" s="87"/>
      <c r="D29" s="87"/>
      <c r="E29" s="87"/>
      <c r="F29" s="87"/>
      <c r="G29" s="87"/>
      <c r="H29" s="87"/>
      <c r="I29" s="87"/>
      <c r="J29" s="87"/>
      <c r="L29" s="108"/>
    </row>
    <row r="30" spans="2:19" ht="16" x14ac:dyDescent="0.2">
      <c r="B30" s="111"/>
      <c r="C30" s="87"/>
      <c r="D30" s="87"/>
      <c r="E30" s="87"/>
      <c r="F30" s="87"/>
      <c r="G30" s="87"/>
      <c r="H30" s="87"/>
      <c r="I30" s="87"/>
      <c r="J30" s="87"/>
      <c r="L30" s="108"/>
    </row>
    <row r="31" spans="2:19" ht="16" x14ac:dyDescent="0.2">
      <c r="B31" s="111" t="s">
        <v>51</v>
      </c>
      <c r="C31" s="87"/>
      <c r="D31" s="87"/>
      <c r="E31" s="87"/>
      <c r="F31" s="87"/>
      <c r="G31" s="87"/>
      <c r="H31" s="87"/>
      <c r="I31" s="87"/>
      <c r="J31" s="87"/>
      <c r="L31" s="108"/>
    </row>
    <row r="32" spans="2:19" ht="16" x14ac:dyDescent="0.2">
      <c r="B32" s="111" t="s">
        <v>45</v>
      </c>
      <c r="C32" s="87"/>
      <c r="D32" s="87"/>
      <c r="E32" s="87"/>
      <c r="F32" s="87"/>
      <c r="G32" s="87"/>
      <c r="H32" s="87"/>
      <c r="I32" s="87"/>
      <c r="J32" s="87"/>
      <c r="L32" s="108"/>
    </row>
    <row r="33" spans="2:22" ht="17.25" customHeight="1" x14ac:dyDescent="0.2">
      <c r="B33" s="111" t="s">
        <v>55</v>
      </c>
      <c r="C33" s="87"/>
      <c r="D33" s="87"/>
      <c r="E33" s="87"/>
      <c r="F33" s="87"/>
      <c r="G33" s="87"/>
      <c r="H33" s="87"/>
      <c r="I33" s="87"/>
      <c r="J33" s="87"/>
      <c r="L33" s="108"/>
    </row>
    <row r="34" spans="2:22" ht="17.25" customHeight="1" x14ac:dyDescent="0.2">
      <c r="B34" s="111" t="s">
        <v>54</v>
      </c>
      <c r="C34" s="87"/>
      <c r="D34" s="87"/>
      <c r="E34" s="87"/>
      <c r="F34" s="87"/>
      <c r="G34" s="87"/>
      <c r="H34" s="87"/>
      <c r="I34" s="87"/>
      <c r="J34" s="87"/>
      <c r="L34" s="108"/>
    </row>
    <row r="35" spans="2:22" ht="16" x14ac:dyDescent="0.2">
      <c r="B35" s="117"/>
      <c r="G35" s="87"/>
      <c r="H35" s="87"/>
      <c r="I35" s="87"/>
      <c r="J35" s="87"/>
      <c r="L35" s="108"/>
    </row>
    <row r="36" spans="2:22" ht="16" x14ac:dyDescent="0.2">
      <c r="B36" s="111" t="s">
        <v>43</v>
      </c>
      <c r="C36" s="87"/>
      <c r="D36" s="87"/>
      <c r="E36" s="87"/>
      <c r="F36" s="87"/>
      <c r="G36" s="87"/>
      <c r="H36" s="87"/>
      <c r="I36" s="87"/>
      <c r="J36" s="87"/>
      <c r="L36" s="108"/>
    </row>
    <row r="37" spans="2:22" ht="17" thickBot="1" x14ac:dyDescent="0.25">
      <c r="B37" s="112"/>
      <c r="C37" s="113"/>
      <c r="D37" s="113"/>
      <c r="E37" s="113"/>
      <c r="F37" s="113"/>
      <c r="G37" s="113"/>
      <c r="H37" s="113"/>
      <c r="I37" s="113"/>
      <c r="J37" s="113"/>
      <c r="K37" s="109"/>
      <c r="L37" s="110"/>
    </row>
    <row r="44" spans="2:22" ht="16" x14ac:dyDescent="0.2">
      <c r="B44" s="87"/>
      <c r="C44" s="87"/>
      <c r="D44" s="87"/>
      <c r="E44" s="87"/>
      <c r="F44" s="87"/>
      <c r="G44" s="87"/>
      <c r="H44" s="87"/>
      <c r="I44" s="87"/>
      <c r="J44" s="87"/>
      <c r="K44" s="87"/>
      <c r="L44" s="87"/>
      <c r="M44" s="87"/>
      <c r="N44" s="87"/>
      <c r="O44" s="87"/>
      <c r="P44" s="87"/>
      <c r="Q44" s="87"/>
      <c r="R44" s="87"/>
      <c r="S44" s="87"/>
      <c r="T44" s="87"/>
      <c r="U44" s="87"/>
      <c r="V44" s="87"/>
    </row>
    <row r="45" spans="2:22" ht="16" x14ac:dyDescent="0.2">
      <c r="B45" s="87"/>
      <c r="C45" s="87"/>
      <c r="D45" s="87"/>
      <c r="E45" s="87"/>
      <c r="F45" s="87"/>
      <c r="G45" s="87"/>
      <c r="H45" s="87"/>
      <c r="I45" s="87"/>
      <c r="J45" s="87"/>
      <c r="K45" s="87"/>
      <c r="L45" s="87"/>
      <c r="M45" s="87"/>
      <c r="N45" s="87"/>
      <c r="O45" s="87"/>
      <c r="P45" s="87"/>
      <c r="Q45" s="87"/>
      <c r="R45" s="87"/>
      <c r="S45" s="87"/>
      <c r="T45" s="87"/>
      <c r="U45" s="87"/>
      <c r="V45" s="87"/>
    </row>
    <row r="46" spans="2:22" ht="16" x14ac:dyDescent="0.2">
      <c r="B46" s="87"/>
      <c r="C46" s="87"/>
      <c r="D46" s="87"/>
      <c r="E46" s="87"/>
      <c r="F46" s="87"/>
      <c r="G46" s="87"/>
      <c r="H46" s="87"/>
      <c r="I46" s="87"/>
      <c r="J46" s="87"/>
      <c r="K46" s="87"/>
      <c r="L46" s="87"/>
      <c r="M46" s="87"/>
      <c r="N46" s="87"/>
      <c r="O46" s="87"/>
      <c r="P46" s="87"/>
      <c r="Q46" s="87"/>
      <c r="R46" s="87"/>
      <c r="S46" s="87"/>
      <c r="T46" s="87"/>
      <c r="U46" s="87"/>
      <c r="V46" s="87"/>
    </row>
    <row r="47" spans="2:22" ht="16" x14ac:dyDescent="0.2">
      <c r="B47" s="87"/>
      <c r="C47" s="87"/>
      <c r="D47" s="87"/>
      <c r="E47" s="87"/>
      <c r="F47" s="87"/>
      <c r="G47" s="87"/>
      <c r="H47" s="87"/>
      <c r="I47" s="87"/>
      <c r="J47" s="87"/>
      <c r="K47" s="87"/>
      <c r="L47" s="87"/>
      <c r="M47" s="87"/>
      <c r="N47" s="87"/>
      <c r="O47" s="87"/>
      <c r="P47" s="87"/>
      <c r="Q47" s="87"/>
      <c r="R47" s="87"/>
      <c r="S47" s="87"/>
      <c r="T47" s="87"/>
      <c r="U47" s="87"/>
      <c r="V47" s="87"/>
    </row>
    <row r="48" spans="2:22" ht="16" x14ac:dyDescent="0.2">
      <c r="B48" s="87"/>
      <c r="C48" s="87"/>
      <c r="D48" s="87"/>
      <c r="E48" s="87"/>
      <c r="F48" s="87"/>
      <c r="G48" s="87"/>
      <c r="H48" s="87"/>
      <c r="I48" s="87"/>
      <c r="J48" s="87"/>
      <c r="K48" s="87"/>
      <c r="L48" s="87"/>
      <c r="M48" s="87"/>
      <c r="N48" s="87"/>
      <c r="O48" s="87"/>
      <c r="P48" s="87"/>
      <c r="Q48" s="87"/>
      <c r="R48" s="87"/>
      <c r="S48" s="87"/>
      <c r="T48" s="87"/>
      <c r="U48" s="87"/>
      <c r="V48" s="87"/>
    </row>
    <row r="49" spans="2:22" ht="16" x14ac:dyDescent="0.2">
      <c r="B49" s="87"/>
      <c r="C49" s="87"/>
      <c r="D49" s="87"/>
      <c r="E49" s="87"/>
      <c r="F49" s="87"/>
      <c r="G49" s="87"/>
      <c r="H49" s="87"/>
      <c r="I49" s="87"/>
      <c r="J49" s="87"/>
      <c r="K49" s="87"/>
      <c r="L49" s="87"/>
      <c r="M49" s="87"/>
      <c r="N49" s="87"/>
      <c r="O49" s="87"/>
      <c r="P49" s="87"/>
      <c r="Q49" s="87"/>
      <c r="R49" s="87"/>
      <c r="S49" s="87"/>
      <c r="T49" s="87"/>
      <c r="U49" s="87"/>
      <c r="V49" s="87"/>
    </row>
    <row r="50" spans="2:22" ht="16" x14ac:dyDescent="0.2">
      <c r="B50" s="87"/>
      <c r="C50" s="87"/>
      <c r="D50" s="87"/>
      <c r="E50" s="87"/>
      <c r="F50" s="87"/>
      <c r="G50" s="87"/>
      <c r="H50" s="87"/>
      <c r="I50" s="87"/>
      <c r="J50" s="87"/>
      <c r="K50" s="87"/>
      <c r="L50" s="87"/>
      <c r="M50" s="87"/>
      <c r="N50" s="87"/>
      <c r="O50" s="87"/>
      <c r="P50" s="87"/>
      <c r="Q50" s="87"/>
      <c r="R50" s="87"/>
      <c r="S50" s="87"/>
      <c r="T50" s="87"/>
      <c r="U50" s="87"/>
      <c r="V50" s="87"/>
    </row>
    <row r="51" spans="2:22" ht="16" x14ac:dyDescent="0.2">
      <c r="B51" s="87"/>
      <c r="C51" s="87"/>
      <c r="D51" s="87"/>
      <c r="E51" s="87"/>
      <c r="F51" s="87"/>
      <c r="G51" s="87"/>
      <c r="H51" s="87"/>
      <c r="I51" s="87"/>
      <c r="J51" s="87"/>
      <c r="K51" s="87"/>
      <c r="L51" s="87"/>
      <c r="M51" s="87"/>
      <c r="N51" s="87"/>
      <c r="O51" s="87"/>
      <c r="P51" s="87"/>
      <c r="Q51" s="87"/>
      <c r="R51" s="87"/>
      <c r="S51" s="87"/>
      <c r="T51" s="87"/>
      <c r="U51" s="87"/>
      <c r="V51" s="87"/>
    </row>
    <row r="52" spans="2:22" ht="16" x14ac:dyDescent="0.2">
      <c r="B52" s="87"/>
      <c r="C52" s="87"/>
      <c r="D52" s="87"/>
      <c r="E52" s="87"/>
      <c r="F52" s="87"/>
      <c r="G52" s="87"/>
      <c r="H52" s="87"/>
      <c r="I52" s="87"/>
      <c r="J52" s="87"/>
      <c r="K52" s="87"/>
      <c r="L52" s="87"/>
      <c r="M52" s="87"/>
      <c r="N52" s="87"/>
      <c r="O52" s="87"/>
      <c r="P52" s="87"/>
      <c r="Q52" s="87"/>
      <c r="R52" s="87"/>
      <c r="S52" s="87"/>
      <c r="T52" s="87"/>
      <c r="U52" s="87"/>
      <c r="V52" s="87"/>
    </row>
    <row r="53" spans="2:22" ht="16" x14ac:dyDescent="0.2">
      <c r="B53" s="87"/>
      <c r="C53" s="87"/>
      <c r="D53" s="87"/>
      <c r="E53" s="87"/>
      <c r="F53" s="87"/>
      <c r="G53" s="87"/>
      <c r="H53" s="87"/>
      <c r="I53" s="87"/>
      <c r="J53" s="87"/>
      <c r="K53" s="87"/>
      <c r="L53" s="87"/>
      <c r="M53" s="87"/>
      <c r="N53" s="87"/>
      <c r="O53" s="87"/>
      <c r="P53" s="87"/>
      <c r="Q53" s="87"/>
      <c r="R53" s="87"/>
      <c r="S53" s="87"/>
      <c r="T53" s="87"/>
      <c r="U53" s="87"/>
      <c r="V53" s="87"/>
    </row>
    <row r="54" spans="2:22" ht="16" x14ac:dyDescent="0.2">
      <c r="B54" s="87"/>
      <c r="C54" s="87"/>
      <c r="D54" s="87"/>
      <c r="E54" s="87"/>
      <c r="F54" s="87"/>
      <c r="G54" s="87"/>
      <c r="H54" s="87"/>
      <c r="I54" s="87"/>
      <c r="J54" s="87"/>
      <c r="K54" s="87"/>
      <c r="L54" s="87"/>
      <c r="M54" s="87"/>
      <c r="N54" s="87"/>
      <c r="O54" s="87"/>
      <c r="P54" s="87"/>
      <c r="Q54" s="87"/>
      <c r="R54" s="87"/>
      <c r="S54" s="87"/>
      <c r="T54" s="87"/>
      <c r="U54" s="87"/>
      <c r="V54" s="87"/>
    </row>
    <row r="55" spans="2:22" ht="16" x14ac:dyDescent="0.2">
      <c r="B55" s="87"/>
      <c r="C55" s="87"/>
      <c r="D55" s="87"/>
      <c r="E55" s="87"/>
      <c r="F55" s="87"/>
      <c r="G55" s="87"/>
      <c r="H55" s="87"/>
      <c r="I55" s="87"/>
      <c r="J55" s="87"/>
      <c r="K55" s="87"/>
      <c r="L55" s="87"/>
      <c r="M55" s="87"/>
      <c r="N55" s="87"/>
      <c r="O55" s="87"/>
      <c r="P55" s="87"/>
      <c r="Q55" s="87"/>
      <c r="R55" s="87"/>
      <c r="S55" s="87"/>
      <c r="T55" s="87"/>
      <c r="U55" s="87"/>
      <c r="V55" s="87"/>
    </row>
  </sheetData>
  <mergeCells count="2">
    <mergeCell ref="B14:C14"/>
    <mergeCell ref="B2:K2"/>
  </mergeCells>
  <pageMargins left="0.7" right="0.7" top="0.75" bottom="0.75" header="0.3" footer="0.3"/>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5C23-8985-4E31-A22D-35DB814CDE3F}">
  <sheetPr>
    <tabColor rgb="FFFF0000"/>
    <pageSetUpPr fitToPage="1"/>
  </sheetPr>
  <dimension ref="B3:P63"/>
  <sheetViews>
    <sheetView tabSelected="1" topLeftCell="B5" zoomScale="86" zoomScaleNormal="90" workbookViewId="0">
      <selection activeCell="L19" sqref="L19"/>
    </sheetView>
  </sheetViews>
  <sheetFormatPr baseColWidth="10" defaultRowHeight="15" x14ac:dyDescent="0.2"/>
  <cols>
    <col min="2" max="2" width="48.83203125" customWidth="1"/>
    <col min="3" max="3" width="34.83203125" customWidth="1"/>
    <col min="4" max="4" width="24" customWidth="1"/>
    <col min="5" max="5" width="20.83203125" customWidth="1"/>
    <col min="6" max="6" width="29.6640625" customWidth="1"/>
    <col min="8" max="8" width="6.33203125" customWidth="1"/>
    <col min="9" max="9" width="4" customWidth="1"/>
    <col min="10" max="10" width="31.6640625" customWidth="1"/>
    <col min="12" max="12" width="18.33203125" customWidth="1"/>
    <col min="14" max="14" width="22.33203125" customWidth="1"/>
    <col min="15" max="15" width="33.5" bestFit="1" customWidth="1"/>
    <col min="16" max="16" width="15.6640625" customWidth="1"/>
  </cols>
  <sheetData>
    <row r="3" spans="2:10" ht="24" x14ac:dyDescent="0.2">
      <c r="B3" s="204" t="s">
        <v>30</v>
      </c>
      <c r="C3" s="204"/>
      <c r="D3" s="204"/>
      <c r="E3" s="204"/>
      <c r="F3" s="204"/>
    </row>
    <row r="4" spans="2:10" ht="24" x14ac:dyDescent="0.2">
      <c r="B4" s="27"/>
      <c r="C4" s="27"/>
      <c r="D4" s="27"/>
      <c r="E4" s="27"/>
      <c r="F4" s="27"/>
    </row>
    <row r="5" spans="2:10" ht="21" x14ac:dyDescent="0.25">
      <c r="B5" s="1"/>
      <c r="C5" s="1"/>
      <c r="D5" s="1"/>
      <c r="E5" s="2" t="s">
        <v>1</v>
      </c>
      <c r="F5" s="91"/>
    </row>
    <row r="6" spans="2:10" ht="21" x14ac:dyDescent="0.25">
      <c r="B6" s="1"/>
      <c r="C6" s="1"/>
      <c r="D6" s="1"/>
      <c r="E6" s="1"/>
      <c r="F6" s="13"/>
    </row>
    <row r="7" spans="2:10" ht="21" x14ac:dyDescent="0.25">
      <c r="B7" s="1"/>
      <c r="C7" s="1"/>
      <c r="D7" s="1"/>
      <c r="E7" s="3" t="s">
        <v>2</v>
      </c>
      <c r="F7" s="90"/>
      <c r="I7" s="52"/>
    </row>
    <row r="8" spans="2:10" ht="21" x14ac:dyDescent="0.25">
      <c r="B8" s="1"/>
      <c r="C8" s="1"/>
      <c r="D8" s="1"/>
      <c r="E8" s="1"/>
      <c r="F8" s="1"/>
    </row>
    <row r="9" spans="2:10" ht="22" thickBot="1" x14ac:dyDescent="0.3">
      <c r="B9" s="1"/>
      <c r="C9" s="1"/>
      <c r="D9" s="1"/>
      <c r="E9" s="1"/>
      <c r="F9" s="1"/>
    </row>
    <row r="10" spans="2:10" ht="38.25" customHeight="1" x14ac:dyDescent="0.2">
      <c r="B10" s="4" t="s">
        <v>3</v>
      </c>
      <c r="C10" s="147" t="s">
        <v>96</v>
      </c>
      <c r="D10" s="273" t="s">
        <v>94</v>
      </c>
      <c r="E10" s="273"/>
      <c r="F10" s="274"/>
    </row>
    <row r="11" spans="2:10" ht="31.5" customHeight="1" x14ac:dyDescent="0.2">
      <c r="B11" s="6"/>
      <c r="C11" s="254" t="s">
        <v>5</v>
      </c>
      <c r="D11" s="255"/>
      <c r="E11" s="255"/>
      <c r="F11" s="256"/>
    </row>
    <row r="12" spans="2:10" ht="32.25" customHeight="1" x14ac:dyDescent="0.2">
      <c r="B12" s="6"/>
      <c r="C12" s="254" t="s">
        <v>6</v>
      </c>
      <c r="D12" s="257"/>
      <c r="E12" s="257"/>
      <c r="F12" s="258"/>
    </row>
    <row r="13" spans="2:10" ht="36" customHeight="1" thickBot="1" x14ac:dyDescent="0.25">
      <c r="B13" s="6"/>
      <c r="C13" s="259" t="s">
        <v>7</v>
      </c>
      <c r="D13" s="260"/>
      <c r="E13" s="260"/>
      <c r="F13" s="261"/>
    </row>
    <row r="14" spans="2:10" ht="36" customHeight="1" x14ac:dyDescent="0.2">
      <c r="B14" s="4" t="s">
        <v>8</v>
      </c>
      <c r="C14" s="262" t="s">
        <v>4</v>
      </c>
      <c r="D14" s="263" t="s">
        <v>98</v>
      </c>
      <c r="E14" s="263"/>
      <c r="F14" s="264"/>
    </row>
    <row r="15" spans="2:10" ht="49" customHeight="1" x14ac:dyDescent="0.25">
      <c r="B15" s="6"/>
      <c r="C15" s="254" t="s">
        <v>5</v>
      </c>
      <c r="D15" s="255" t="s">
        <v>99</v>
      </c>
      <c r="E15" s="255"/>
      <c r="F15" s="256"/>
      <c r="J15" s="38"/>
    </row>
    <row r="16" spans="2:10" ht="32.25" customHeight="1" x14ac:dyDescent="0.2">
      <c r="B16" s="6"/>
      <c r="C16" s="254" t="s">
        <v>6</v>
      </c>
      <c r="D16" s="260" t="s">
        <v>100</v>
      </c>
      <c r="E16" s="260"/>
      <c r="F16" s="261"/>
    </row>
    <row r="17" spans="2:16" ht="61.5" customHeight="1" thickBot="1" x14ac:dyDescent="0.25">
      <c r="B17" s="10"/>
      <c r="C17" s="265" t="s">
        <v>9</v>
      </c>
      <c r="D17" s="266"/>
      <c r="E17" s="266"/>
      <c r="F17" s="267"/>
    </row>
    <row r="18" spans="2:16" ht="39.75" customHeight="1" x14ac:dyDescent="0.2">
      <c r="B18" s="4" t="s">
        <v>39</v>
      </c>
      <c r="C18" s="262" t="s">
        <v>11</v>
      </c>
      <c r="D18" s="268" t="s">
        <v>108</v>
      </c>
      <c r="E18" s="268"/>
      <c r="F18" s="269"/>
    </row>
    <row r="19" spans="2:16" ht="42.75" customHeight="1" thickBot="1" x14ac:dyDescent="0.25">
      <c r="B19" s="10"/>
      <c r="C19" s="270" t="s">
        <v>10</v>
      </c>
      <c r="D19" s="271"/>
      <c r="E19" s="271"/>
      <c r="F19" s="272"/>
    </row>
    <row r="20" spans="2:16" ht="29.25" customHeight="1" x14ac:dyDescent="0.25">
      <c r="B20" s="1"/>
      <c r="C20" s="1"/>
      <c r="D20" s="1"/>
      <c r="E20" s="1"/>
      <c r="F20" s="1"/>
    </row>
    <row r="21" spans="2:16" ht="21" x14ac:dyDescent="0.25">
      <c r="B21" s="11" t="s">
        <v>12</v>
      </c>
      <c r="C21" s="1"/>
      <c r="D21" s="1"/>
      <c r="E21" s="1"/>
      <c r="F21" s="1"/>
    </row>
    <row r="22" spans="2:16" ht="21" x14ac:dyDescent="0.25">
      <c r="B22" s="11"/>
      <c r="C22" s="1"/>
      <c r="D22" s="1"/>
      <c r="E22" s="1"/>
      <c r="F22" s="1"/>
    </row>
    <row r="23" spans="2:16" ht="22" thickBot="1" x14ac:dyDescent="0.3">
      <c r="B23" s="11"/>
      <c r="C23" s="150" t="s">
        <v>95</v>
      </c>
      <c r="D23" s="150" t="s">
        <v>90</v>
      </c>
      <c r="E23" s="150" t="s">
        <v>91</v>
      </c>
      <c r="F23" s="150" t="s">
        <v>92</v>
      </c>
      <c r="G23" s="150" t="s">
        <v>102</v>
      </c>
      <c r="J23" s="198" t="s">
        <v>106</v>
      </c>
      <c r="K23" s="198"/>
      <c r="L23" s="198"/>
      <c r="N23" s="198" t="s">
        <v>102</v>
      </c>
      <c r="O23" s="198"/>
      <c r="P23" s="198"/>
    </row>
    <row r="24" spans="2:16" ht="56.25" customHeight="1" thickBot="1" x14ac:dyDescent="0.25">
      <c r="C24" s="149" t="s">
        <v>85</v>
      </c>
      <c r="D24" s="149" t="s">
        <v>93</v>
      </c>
      <c r="E24" s="149" t="s">
        <v>93</v>
      </c>
      <c r="F24" s="149" t="s">
        <v>93</v>
      </c>
      <c r="G24" s="149" t="s">
        <v>93</v>
      </c>
      <c r="J24" s="35" t="s">
        <v>22</v>
      </c>
      <c r="K24" s="35" t="s">
        <v>13</v>
      </c>
      <c r="L24" s="35" t="s">
        <v>23</v>
      </c>
      <c r="N24" s="35" t="s">
        <v>22</v>
      </c>
      <c r="O24" s="35" t="s">
        <v>13</v>
      </c>
      <c r="P24" s="35" t="s">
        <v>23</v>
      </c>
    </row>
    <row r="25" spans="2:16" ht="27" customHeight="1" thickBot="1" x14ac:dyDescent="0.25">
      <c r="B25" s="82" t="s">
        <v>17</v>
      </c>
      <c r="C25" s="39"/>
      <c r="D25" s="169" cm="1">
        <f t="array" ref="D25">IF(D$24="OUI",_xlfn.IFS($C$24="Be",'Client - Tarifs'!E10,'Devis Général'!$C$24="Al",'Client - Tarifs'!E10,'Devis Général'!$C$24="Al+Be",'Client - Tarifs'!E10,'Devis Général'!$C$24="Chlore Silicate",'Client - Tarifs'!E25,'Devis Général'!$C$24="Chlore Carbonate",'Client - Tarifs'!E25),0)</f>
        <v>3.65</v>
      </c>
      <c r="E25" s="36" cm="1">
        <f t="array" ref="E25">IF(E$24="OUI",_xlfn.IFS($C$24="Be",'Client - Tarifs'!H10,'Devis Général'!$C$24="Al",'Client - Tarifs'!H10,'Devis Général'!$C$24="Al+Be",'Client - Tarifs'!H10,'Devis Général'!$C$24="Chlore Silicate",'Client - Tarifs'!H25,'Devis Général'!$C$24="Chlore Carbonate",'Client - Tarifs'!H25),0)</f>
        <v>13.67</v>
      </c>
      <c r="F25" s="36" cm="1">
        <f t="array" ref="F25">IF(F$24="OUI",_xlfn.IFS($C$24="Be",'Client - Tarifs'!K10,'Devis Général'!$C$24="Al",'Client - Tarifs'!K10+'Client - Tarifs'!N10,'Devis Général'!$C$24="Al+Be",'Client - Tarifs'!K10+'Client - Tarifs'!N10,'Devis Général'!$C$24="Chlore Silicate",'Client - Tarifs'!N25,'Devis Général'!$C$24="Chlore Carbonate",'Client - Tarifs'!K25+'Client - Tarifs'!Q25),0)</f>
        <v>41.16</v>
      </c>
      <c r="G25" s="36" cm="1">
        <f t="array" ref="G25">IF(G$24="OUI",_xlfn.IFS($C$24="Be",'Client - Tarifs'!B51,'Devis Général'!$C$24="Al",'Client - Tarifs'!B51,'Devis Général'!$C$24="Al+Be",'Client - Tarifs'!B51*2,'Devis Général'!$C$24="Chlore Silicate",'Client - Tarifs'!F51,'Devis Général'!$C$24="Chlore Carbonate",'Client - Tarifs'!F51),0)</f>
        <v>6.51</v>
      </c>
      <c r="J25" s="65" cm="1">
        <f t="array" ref="J25">IF(D$24="OUI",_xlfn.IFS($C$24="Be",'Client - Tarifs'!E10+0.01,'Devis Général'!$C$24="Al",'Client - Tarifs'!E10+0.01,'Devis Général'!$C$24="Al+Be",'Client - Tarifs'!E10,'Devis Général'!$C$24="Chlore Silicate",'Client - Tarifs'!E25,'Devis Général'!$C$24="Chlore Carbonate",'Client - Tarifs'!E25),0)+IF(E$24="OUI",_xlfn.IFS($C$24="Be",'Client - Tarifs'!H10,'Devis Général'!$C$24="Al",'Client - Tarifs'!H10,'Devis Général'!$C$24="Al+Be",'Client - Tarifs'!H10,'Devis Général'!$C$24="Chlore Silicate",'Client - Tarifs'!H25,'Devis Général'!$C$24="Chlore Carbonate",'Client - Tarifs'!H25),0)+IF(F$24="OUI",_xlfn.IFS($C$24="Be",'Client - Tarifs'!K10,'Devis Général'!$C$24="Al",'Client - Tarifs'!K10+'Client - Tarifs'!N10,'Devis Général'!$C$24="Al+Be",'Client - Tarifs'!K10+'Client - Tarifs'!N10,'Devis Général'!$C$24="Chlore Silicate",'Client - Tarifs'!N25,'Devis Général'!$C$24="Chlore Carbonate",'Client - Tarifs'!K25+'Client - Tarifs'!Q25),0)</f>
        <v>58.489999999999995</v>
      </c>
      <c r="K25" s="153">
        <v>1</v>
      </c>
      <c r="L25" s="36">
        <f>J25*K25</f>
        <v>58.489999999999995</v>
      </c>
      <c r="N25" s="65">
        <f>G25</f>
        <v>6.51</v>
      </c>
      <c r="O25" s="120">
        <f>K25</f>
        <v>1</v>
      </c>
      <c r="P25" s="36">
        <f>N25*O25</f>
        <v>6.51</v>
      </c>
    </row>
    <row r="26" spans="2:16" ht="24" customHeight="1" thickBot="1" x14ac:dyDescent="0.25">
      <c r="B26" s="82" t="s">
        <v>18</v>
      </c>
      <c r="C26" s="39"/>
      <c r="D26" s="170" cm="1">
        <f t="array" ref="D26">IF(D$24="OUI",_xlfn.IFS($C$24="Be",'Client - Tarifs'!E11,'Devis Général'!$C$24="Al",'Client - Tarifs'!E11,'Devis Général'!$C$24="Al+Be",'Client - Tarifs'!E11,'Devis Général'!$C$24="Chlore Silicate",'Client - Tarifs'!E26,'Devis Général'!$C$24="Chlore Carbonate",'Client - Tarifs'!E26),0)</f>
        <v>0</v>
      </c>
      <c r="E26" s="170" cm="1">
        <f t="array" ref="E26">IF(E$24="OUI",_xlfn.IFS($C$24="Be",'Client - Tarifs'!H11,'Devis Général'!$C$24="Al",'Client - Tarifs'!H11,'Devis Général'!$C$24="Al+Be",'Client - Tarifs'!H11,'Devis Général'!$C$24="Chlore Silicate",'Client - Tarifs'!H26,'Devis Général'!$C$24="Chlore Carbonate",'Client - Tarifs'!H26),0)</f>
        <v>0</v>
      </c>
      <c r="F26" s="170" cm="1">
        <f t="array" ref="F26">IF(F$24="OUI",_xlfn.IFS($C$24="Be",'Client - Tarifs'!K11,'Devis Général'!$C$24="Al",'Client - Tarifs'!K11+'Client - Tarifs'!N11,'Devis Général'!$C$24="Al+Be",'Client - Tarifs'!K11+'Client - Tarifs'!N11,'Devis Général'!$C$24="Chlore Silicate",'Client - Tarifs'!N26,'Devis Général'!$C$24="Chlore Carbonate",'Client - Tarifs'!K26+'Client - Tarifs'!Q26),0)</f>
        <v>17.87</v>
      </c>
      <c r="G26" s="36" cm="1">
        <f t="array" ref="G26">IF(G$24="OUI",_xlfn.IFS($C$24="Be",'Client - Tarifs'!B52,'Devis Général'!$C$24="Al",'Client - Tarifs'!B52,'Devis Général'!$C$24="Al+Be",'Client - Tarifs'!B52*2,'Devis Général'!$C$24="Chlore Silicate",'Client - Tarifs'!F52,'Devis Général'!$C$24="Chlore Carbonate",'Client - Tarifs'!F52),0)</f>
        <v>2.97</v>
      </c>
      <c r="J26" s="65" cm="1">
        <f t="array" ref="J26">IF(D$24="OUI",_xlfn.IFS($C$24="Be",'Client - Tarifs'!E11,'Devis Général'!$C$24="Al",'Client - Tarifs'!E11-0.01,'Devis Général'!$C$24="Al+Be",'Client - Tarifs'!E11,'Devis Général'!$C$24="Chlore Silicate",'Client - Tarifs'!E26,'Devis Général'!$C$24="Chlore Carbonate",'Client - Tarifs'!E26),0)+IF(E$24="OUI",_xlfn.IFS($C$24="Be",'Client - Tarifs'!H11,'Devis Général'!$C$24="Al",'Client - Tarifs'!H11,'Devis Général'!$C$24="Al+Be",'Client - Tarifs'!H11,'Devis Général'!$C$24="Chlore Silicate",'Client - Tarifs'!H26,'Devis Général'!$C$24="Chlore Carbonate",'Client - Tarifs'!H26),0)+IF(F$24="OUI",_xlfn.IFS($C$24="Be",'Client - Tarifs'!K11,'Devis Général'!$C$24="Al",'Client - Tarifs'!K11+'Client - Tarifs'!N11,'Devis Général'!$C$24="Al+Be",'Client - Tarifs'!K11+'Client - Tarifs'!N11,'Devis Général'!$C$24="Chlore Silicate",'Client - Tarifs'!N26,'Devis Général'!$C$24="Chlore Carbonate",'Client - Tarifs'!K26+'Client - Tarifs'!Q26),0)</f>
        <v>17.87</v>
      </c>
      <c r="K26" s="171">
        <f>K25</f>
        <v>1</v>
      </c>
      <c r="L26" s="36">
        <f t="shared" ref="L26:L33" si="0">J26*K26</f>
        <v>17.87</v>
      </c>
      <c r="N26" s="65">
        <f t="shared" ref="N26:N32" si="1">G26</f>
        <v>2.97</v>
      </c>
      <c r="O26" s="171">
        <f>O25</f>
        <v>1</v>
      </c>
      <c r="P26" s="36">
        <f t="shared" ref="P26:P33" si="2">N26*O26</f>
        <v>2.97</v>
      </c>
    </row>
    <row r="27" spans="2:16" ht="25.5" customHeight="1" thickBot="1" x14ac:dyDescent="0.25">
      <c r="B27" s="83" t="s">
        <v>19</v>
      </c>
      <c r="C27" s="45"/>
      <c r="D27" s="170" cm="1">
        <f t="array" ref="D27">IF(D$24="OUI",_xlfn.IFS($C$24="Be",'Client - Tarifs'!E12,'Devis Général'!$C$24="Al",'Client - Tarifs'!E12,'Devis Général'!$C$24="Al+Be",'Client - Tarifs'!E12,'Devis Général'!$C$24="Chlore Silicate",'Client - Tarifs'!E27,'Devis Général'!$C$24="Chlore Carbonate",'Client - Tarifs'!E27),0)</f>
        <v>0</v>
      </c>
      <c r="E27" s="170" cm="1">
        <f t="array" ref="E27">IF(E$24="OUI",_xlfn.IFS($C$24="Be",'Client - Tarifs'!H12,'Devis Général'!$C$24="Al",'Client - Tarifs'!H12,'Devis Général'!$C$24="Al+Be",'Client - Tarifs'!H12,'Devis Général'!$C$24="Chlore Silicate",'Client - Tarifs'!H27,'Devis Général'!$C$24="Chlore Carbonate",'Client - Tarifs'!H27),0)</f>
        <v>0</v>
      </c>
      <c r="F27" s="170" cm="1">
        <f t="array" ref="F27">IF(F$24="OUI",_xlfn.IFS($C$24="Be",'Client - Tarifs'!K12,'Devis Général'!$C$24="Al",'Client - Tarifs'!K12+'Client - Tarifs'!N12,'Devis Général'!$C$24="Al+Be",'Client - Tarifs'!K12+'Client - Tarifs'!N12,'Devis Général'!$C$24="Chlore Silicate",'Client - Tarifs'!N27,'Devis Général'!$C$24="Chlore Carbonate",'Client - Tarifs'!K27+'Client - Tarifs'!Q27),0)</f>
        <v>22.47</v>
      </c>
      <c r="G27" s="36" cm="1">
        <f t="array" ref="G27">IF(G$24="OUI",_xlfn.IFS($C$24="Be",'Client - Tarifs'!B53,'Devis Général'!$C$24="Al",'Client - Tarifs'!B53,'Devis Général'!$C$24="Al+Be",'Client - Tarifs'!B53*2,'Devis Général'!$C$24="Chlore Silicate",'Client - Tarifs'!F53,'Devis Général'!$C$24="Chlore Carbonate",'Client - Tarifs'!F53),0)</f>
        <v>10.76</v>
      </c>
      <c r="J27" s="65" cm="1">
        <f t="array" ref="J27">IF(D$24="OUI",_xlfn.IFS($C$24="Be",'Client - Tarifs'!E12,'Devis Général'!$C$24="Al",'Client - Tarifs'!E12,'Devis Général'!$C$24="Al+Be",'Client - Tarifs'!E12,'Devis Général'!$C$24="Chlore Silicate",'Client - Tarifs'!E27,'Devis Général'!$C$24="Chlore Carbonate",'Client - Tarifs'!E27),0)+IF(E$24="OUI",_xlfn.IFS($C$24="Be",'Client - Tarifs'!H12,'Devis Général'!$C$24="Al",'Client - Tarifs'!H12,'Devis Général'!$C$24="Al+Be",'Client - Tarifs'!H12,'Devis Général'!$C$24="Chlore Silicate",'Client - Tarifs'!H27,'Devis Général'!$C$24="Chlore Carbonate",'Client - Tarifs'!H27),0)+IF(F$24="OUI",_xlfn.IFS($C$24="Be",'Client - Tarifs'!K12,'Devis Général'!$C$24="Al",'Client - Tarifs'!K12+'Client - Tarifs'!N12,'Devis Général'!$C$24="Al+Be",'Client - Tarifs'!K12+'Client - Tarifs'!N12,'Devis Général'!$C$24="Chlore Silicate",'Client - Tarifs'!N27,'Devis Général'!$C$24="Chlore Carbonate",'Client - Tarifs'!K27+'Client - Tarifs'!Q27),0)</f>
        <v>22.47</v>
      </c>
      <c r="K27" s="172">
        <f>K25</f>
        <v>1</v>
      </c>
      <c r="L27" s="170">
        <f t="shared" si="0"/>
        <v>22.47</v>
      </c>
      <c r="N27" s="65">
        <f t="shared" si="1"/>
        <v>10.76</v>
      </c>
      <c r="O27" s="172">
        <f>O25</f>
        <v>1</v>
      </c>
      <c r="P27" s="170">
        <f t="shared" si="2"/>
        <v>10.76</v>
      </c>
    </row>
    <row r="28" spans="2:16" ht="26.25" customHeight="1" thickBot="1" x14ac:dyDescent="0.25">
      <c r="B28" s="82" t="s">
        <v>21</v>
      </c>
      <c r="C28" s="39"/>
      <c r="D28" s="170" cm="1">
        <f t="array" ref="D28">IF(D$24="OUI",_xlfn.IFS($C$24="Be",'Client - Tarifs'!E13,'Devis Général'!$C$24="Al",'Client - Tarifs'!E13,'Devis Général'!$C$24="Al+Be",'Client - Tarifs'!E13,'Devis Général'!$C$24="Chlore Silicate",'Client - Tarifs'!E28,'Devis Général'!$C$24="Chlore Carbonate",'Client - Tarifs'!E28),0)</f>
        <v>20.5</v>
      </c>
      <c r="E28" s="170" cm="1">
        <f t="array" ref="E28">IF(E$24="OUI",_xlfn.IFS($C$24="Be",'Client - Tarifs'!H13,'Devis Général'!$C$24="Al",'Client - Tarifs'!H13,'Devis Général'!$C$24="Al+Be",'Client - Tarifs'!H13,'Devis Général'!$C$24="Chlore Silicate",'Client - Tarifs'!H28,'Devis Général'!$C$24="Chlore Carbonate",'Client - Tarifs'!H28),0)</f>
        <v>20.5</v>
      </c>
      <c r="F28" s="170" cm="1">
        <f t="array" ref="F28">IF(F$24="OUI",_xlfn.IFS($C$24="Be",'Client - Tarifs'!K13,'Devis Général'!$C$24="Al",'Client - Tarifs'!K13+'Client - Tarifs'!N13,'Devis Général'!$C$24="Al+Be",'Client - Tarifs'!K13+'Client - Tarifs'!N13,'Devis Général'!$C$24="Chlore Silicate",'Client - Tarifs'!N28,'Devis Général'!$C$24="Chlore Carbonate",'Client - Tarifs'!K28+'Client - Tarifs'!Q28),0)</f>
        <v>20.5</v>
      </c>
      <c r="G28" s="36" cm="1">
        <f t="array" ref="G28">IF(G$24="OUI",_xlfn.IFS($C$24="Be",'Client - Tarifs'!B54,'Devis Général'!$C$24="Al",'Client - Tarifs'!B54,'Devis Général'!$C$24="Al+Be",'Client - Tarifs'!B54*2,'Devis Général'!$C$24="Chlore Silicate",'Client - Tarifs'!F54,'Devis Général'!$C$24="Chlore Carbonate",'Client - Tarifs'!F54),0)</f>
        <v>46.64</v>
      </c>
      <c r="J28" s="65" cm="1">
        <f t="array" ref="J28">IF(D$24="OUI",_xlfn.IFS($C$24="Be",'Client - Tarifs'!E13,'Devis Général'!$C$24="Al",'Client - Tarifs'!E13,'Devis Général'!$C$24="Al+Be",'Client - Tarifs'!E13,'Devis Général'!$C$24="Chlore Silicate",'Client - Tarifs'!E28,'Devis Général'!$C$24="Chlore Carbonate",'Client - Tarifs'!E28),0)+IF(E$24="OUI",_xlfn.IFS($C$24="Be",'Client - Tarifs'!H13,'Devis Général'!$C$24="Al",'Client - Tarifs'!H13,'Devis Général'!$C$24="Al+Be",'Client - Tarifs'!H13,'Devis Général'!$C$24="Chlore Silicate",'Client - Tarifs'!H28,'Devis Général'!$C$24="Chlore Carbonate",'Client - Tarifs'!H28),0)+IF(F$24="OUI",_xlfn.IFS($C$24="Be",'Client - Tarifs'!K13,'Devis Général'!$C$24="Al",'Client - Tarifs'!K13+'Client - Tarifs'!N13,'Devis Général'!$C$24="Al+Be",'Client - Tarifs'!K13+'Client - Tarifs'!N13,'Devis Général'!$C$24="Chlore Silicate",'Client - Tarifs'!N28,'Devis Général'!$C$24="Chlore Carbonate",'Client - Tarifs'!K28+'Client - Tarifs'!Q28),0)</f>
        <v>61.5</v>
      </c>
      <c r="K28" s="171">
        <f>K25</f>
        <v>1</v>
      </c>
      <c r="L28" s="36">
        <f t="shared" si="0"/>
        <v>61.5</v>
      </c>
      <c r="N28" s="65">
        <f t="shared" si="1"/>
        <v>46.64</v>
      </c>
      <c r="O28" s="171">
        <f>O25</f>
        <v>1</v>
      </c>
      <c r="P28" s="36">
        <f t="shared" si="2"/>
        <v>46.64</v>
      </c>
    </row>
    <row r="29" spans="2:16" ht="25.5" customHeight="1" thickBot="1" x14ac:dyDescent="0.25">
      <c r="B29" s="82" t="s">
        <v>33</v>
      </c>
      <c r="C29" s="39"/>
      <c r="D29" s="170" cm="1">
        <f t="array" ref="D29">IF(D$24="OUI",_xlfn.IFS($C$24="Be",'Client - Tarifs'!E14,'Devis Général'!$C$24="Al",'Client - Tarifs'!E14,'Devis Général'!$C$24="Al+Be",'Client - Tarifs'!E14,'Devis Général'!$C$24="Chlore Silicate",'Client - Tarifs'!E29,'Devis Général'!$C$24="Chlore Carbonate",'Client - Tarifs'!E29),0)</f>
        <v>0</v>
      </c>
      <c r="E29" s="170" cm="1">
        <f t="array" ref="E29">IF(E$24="OUI",_xlfn.IFS($C$24="Be",'Client - Tarifs'!H14,'Devis Général'!$C$24="Al",'Client - Tarifs'!H14,'Devis Général'!$C$24="Al+Be",'Client - Tarifs'!H14,'Devis Général'!$C$24="Chlore Silicate",'Client - Tarifs'!H29,'Devis Général'!$C$24="Chlore Carbonate",'Client - Tarifs'!H29),0)</f>
        <v>0</v>
      </c>
      <c r="F29" s="170" cm="1">
        <f t="array" ref="F29">IF(F$24="OUI",_xlfn.IFS($C$24="Be",'Client - Tarifs'!K14,'Devis Général'!$C$24="Al",'Client - Tarifs'!K14+'Client - Tarifs'!N14,'Devis Général'!$C$24="Al+Be",'Client - Tarifs'!K14+'Client - Tarifs'!N14,'Devis Général'!$C$24="Chlore Silicate",'Client - Tarifs'!N29,'Devis Général'!$C$24="Chlore Carbonate",'Client - Tarifs'!K29+'Client - Tarifs'!Q29),0)</f>
        <v>0</v>
      </c>
      <c r="G29" s="36" cm="1">
        <f t="array" ref="G29">IF(G$24="OUI",_xlfn.IFS($C$24="Be",'Client - Tarifs'!B55,'Devis Général'!$C$24="Al",'Client - Tarifs'!B55,'Devis Général'!$C$24="Al+Be",'Client - Tarifs'!B55*2,'Devis Général'!$C$24="Chlore Silicate",'Client - Tarifs'!F55,'Devis Général'!$C$24="Chlore Carbonate",'Client - Tarifs'!F55),0)</f>
        <v>0</v>
      </c>
      <c r="J29" s="65" cm="1">
        <f t="array" ref="J29">IF(D$24="OUI",_xlfn.IFS($C$24="Be",'Client - Tarifs'!E14,'Devis Général'!$C$24="Al",'Client - Tarifs'!E14,'Devis Général'!$C$24="Al+Be",'Client - Tarifs'!E14,'Devis Général'!$C$24="Chlore Silicate",'Client - Tarifs'!E29,'Devis Général'!$C$24="Chlore Carbonate",'Client - Tarifs'!E29),0)+IF(E$24="OUI",_xlfn.IFS($C$24="Be",'Client - Tarifs'!H14,'Devis Général'!$C$24="Al",'Client - Tarifs'!H14,'Devis Général'!$C$24="Al+Be",'Client - Tarifs'!H14,'Devis Général'!$C$24="Chlore Silicate",'Client - Tarifs'!H29,'Devis Général'!$C$24="Chlore Carbonate",'Client - Tarifs'!H29),0)+IF(F$24="OUI",_xlfn.IFS($C$24="Be",'Client - Tarifs'!K14,'Devis Général'!$C$24="Al",'Client - Tarifs'!K14+'Client - Tarifs'!N14,'Devis Général'!$C$24="Al+Be",'Client - Tarifs'!K14+'Client - Tarifs'!N14,'Devis Général'!$C$24="Chlore Silicate",'Client - Tarifs'!N29,'Devis Général'!$C$24="Chlore Carbonate",'Client - Tarifs'!K29+'Client - Tarifs'!Q29),0)</f>
        <v>0</v>
      </c>
      <c r="K29" s="171">
        <f>K25</f>
        <v>1</v>
      </c>
      <c r="L29" s="36">
        <f t="shared" si="0"/>
        <v>0</v>
      </c>
      <c r="N29" s="65">
        <f t="shared" si="1"/>
        <v>0</v>
      </c>
      <c r="O29" s="171">
        <f>O25</f>
        <v>1</v>
      </c>
      <c r="P29" s="36">
        <f t="shared" si="2"/>
        <v>0</v>
      </c>
    </row>
    <row r="30" spans="2:16" ht="26.25" customHeight="1" thickBot="1" x14ac:dyDescent="0.25">
      <c r="B30" s="82" t="s">
        <v>20</v>
      </c>
      <c r="C30" s="39"/>
      <c r="D30" s="170" cm="1">
        <f t="array" ref="D30">IF(D$24="OUI",_xlfn.IFS($C$24="Be",'Client - Tarifs'!E15,'Devis Général'!$C$24="Al",'Client - Tarifs'!E15,'Devis Général'!$C$24="Al+Be",'Client - Tarifs'!E15,'Devis Général'!$C$24="Chlore Silicate",'Client - Tarifs'!E30,'Devis Général'!$C$24="Chlore Carbonate",'Client - Tarifs'!E30),0)</f>
        <v>0</v>
      </c>
      <c r="E30" s="170" cm="1">
        <f t="array" ref="E30">IF(E$24="OUI",_xlfn.IFS($C$24="Be",'Client - Tarifs'!H15,'Devis Général'!$C$24="Al",'Client - Tarifs'!H15,'Devis Général'!$C$24="Al+Be",'Client - Tarifs'!H15,'Devis Général'!$C$24="Chlore Silicate",'Client - Tarifs'!H30,'Devis Général'!$C$24="Chlore Carbonate",'Client - Tarifs'!H30),0)</f>
        <v>0</v>
      </c>
      <c r="F30" s="170" cm="1">
        <f t="array" ref="F30">IF(F$24="OUI",_xlfn.IFS($C$24="Be",'Client - Tarifs'!K15,'Devis Général'!$C$24="Al",'Client - Tarifs'!K15+'Client - Tarifs'!N15,'Devis Général'!$C$24="Al+Be",'Client - Tarifs'!K15+'Client - Tarifs'!N15,'Devis Général'!$C$24="Chlore Silicate",'Client - Tarifs'!N30,'Devis Général'!$C$24="Chlore Carbonate",'Client - Tarifs'!K30+'Client - Tarifs'!Q30),0)</f>
        <v>0</v>
      </c>
      <c r="G30" s="36" cm="1">
        <f t="array" ref="G30">IF(G$24="OUI",_xlfn.IFS($C$24="Be",'Client - Tarifs'!B56,'Devis Général'!$C$24="Al",'Client - Tarifs'!B56,'Devis Général'!$C$24="Al+Be",'Client - Tarifs'!B56*2,'Devis Général'!$C$24="Chlore Silicate",'Client - Tarifs'!F56,'Devis Général'!$C$24="Chlore Carbonate",'Client - Tarifs'!F56),0)</f>
        <v>0</v>
      </c>
      <c r="J30" s="65" cm="1">
        <f t="array" ref="J30">IF(D$24="OUI",_xlfn.IFS($C$24="Be",'Client - Tarifs'!E15,'Devis Général'!$C$24="Al",'Client - Tarifs'!E15,'Devis Général'!$C$24="Al+Be",'Client - Tarifs'!E15,'Devis Général'!$C$24="Chlore Silicate",'Client - Tarifs'!E30,'Devis Général'!$C$24="Chlore Carbonate",'Client - Tarifs'!E30),0)+IF(E$24="OUI",_xlfn.IFS($C$24="Be",'Client - Tarifs'!H15,'Devis Général'!$C$24="Al",'Client - Tarifs'!H15,'Devis Général'!$C$24="Al+Be",'Client - Tarifs'!H15,'Devis Général'!$C$24="Chlore Silicate",'Client - Tarifs'!H30,'Devis Général'!$C$24="Chlore Carbonate",'Client - Tarifs'!H30),0)+IF(F$24="OUI",_xlfn.IFS($C$24="Be",'Client - Tarifs'!K15,'Devis Général'!$C$24="Al",'Client - Tarifs'!K15+'Client - Tarifs'!N15,'Devis Général'!$C$24="Al+Be",'Client - Tarifs'!K15+'Client - Tarifs'!N15,'Devis Général'!$C$24="Chlore Silicate",'Client - Tarifs'!N30,'Devis Général'!$C$24="Chlore Carbonate",'Client - Tarifs'!K30+'Client - Tarifs'!Q30),0)</f>
        <v>0</v>
      </c>
      <c r="K30" s="171">
        <f>K25</f>
        <v>1</v>
      </c>
      <c r="L30" s="36">
        <f t="shared" si="0"/>
        <v>0</v>
      </c>
      <c r="N30" s="65">
        <f t="shared" si="1"/>
        <v>0</v>
      </c>
      <c r="O30" s="171">
        <f>O25</f>
        <v>1</v>
      </c>
      <c r="P30" s="36">
        <f t="shared" si="2"/>
        <v>0</v>
      </c>
    </row>
    <row r="31" spans="2:16" ht="27.75" customHeight="1" thickBot="1" x14ac:dyDescent="0.25">
      <c r="B31" s="82" t="s">
        <v>24</v>
      </c>
      <c r="C31" s="39"/>
      <c r="D31" s="170" cm="1">
        <f t="array" ref="D31">IF($D$10="OUI",0,(IF(D$24="OUI",_xlfn.IFS($C$24="Be",'Client - Tarifs'!E16,'Devis Général'!$C$24="Al",'Client - Tarifs'!E16,'Devis Général'!$C$24="Al+Be",'Client - Tarifs'!E16,'Devis Général'!$C$24="Chlore Silicate",'Client - Tarifs'!E31,'Devis Général'!$C$24="Chlore Carbonate",'Client - Tarifs'!E31),0)))</f>
        <v>1.69</v>
      </c>
      <c r="E31" s="170" cm="1">
        <f t="array" ref="E31">IF($D$10="OUI",0,(IF(E$24="OUI",_xlfn.IFS($C$24="Be",'Client - Tarifs'!H16,'Devis Général'!$C$24="Al",'Client - Tarifs'!H16,'Devis Général'!$C$24="Al+Be",'Client - Tarifs'!H16,'Devis Général'!$C$24="Chlore Silicate",'Client - Tarifs'!H31,'Devis Général'!$C$24="Chlore Carbonate",'Client - Tarifs'!H31),0)))</f>
        <v>2.39</v>
      </c>
      <c r="F31" s="170" cm="1">
        <f t="array" ref="F31">IF($D$10="OUI",0,(IF(F$24="OUI",_xlfn.IFS($C$24="Be",'Client - Tarifs'!K16,'Devis Général'!$C$24="Al",'Client - Tarifs'!K16+'Client - Tarifs'!N16,'Devis Général'!$C$24="Al+Be",'Client - Tarifs'!K16+'Client - Tarifs'!N16,'Devis Général'!$C$24="Chlore Silicate",'Client - Tarifs'!N31,'Devis Général'!$C$24="Chlore Carbonate",'Client - Tarifs'!K31+'Client - Tarifs'!Q31),0)))</f>
        <v>7.14</v>
      </c>
      <c r="G31" s="36" cm="1">
        <f t="array" ref="G31">IF($D$10="OUI",0,(IF(G$24="OUI",_xlfn.IFS($C$24="Be",'Client - Tarifs'!B57,'Devis Général'!$C$24="Al",'Client - Tarifs'!B57,'Devis Général'!$C$24="Al+Be",'Client - Tarifs'!B57*2,'Devis Général'!$C$24="Chlore Silicate",'Client - Tarifs'!F57,'Devis Général'!$C$24="Chlore Carbonate",'Client - Tarifs'!F57),0)))</f>
        <v>4.68</v>
      </c>
      <c r="J31" s="148" cm="1">
        <f t="array" ref="J31">IF($D$10="OUI",0,(IF(D$24="OUI",_xlfn.IFS($C$24="Be",'Client - Tarifs'!E16,'Devis Général'!$C$24="Al",'Client - Tarifs'!E16,'Devis Général'!$C$24="Al+Be",'Client - Tarifs'!E16,'Devis Général'!$C$24="Chlore Silicate",'Client - Tarifs'!E31,'Devis Général'!$C$24="Chlore Carbonate",'Client - Tarifs'!E31),0)+IF(E$24="OUI",_xlfn.IFS($C$24="Be",'Client - Tarifs'!H16,'Devis Général'!$C$24="Al",'Client - Tarifs'!H16,'Devis Général'!$C$24="Al+Be",'Client - Tarifs'!H16,'Devis Général'!$C$24="Chlore Silicate",'Client - Tarifs'!H31,'Devis Général'!$C$24="Chlore Carbonate",'Client - Tarifs'!H31),0)+IF(F$24="OUI",_xlfn.IFS($C$24="Be",'Client - Tarifs'!K16,'Devis Général'!$C$24="Al",'Client - Tarifs'!K16+'Client - Tarifs'!N16,'Devis Général'!$C$24="Al+Be",'Client - Tarifs'!K16+'Client - Tarifs'!N16,'Devis Général'!$C$24="Chlore Silicate",'Client - Tarifs'!N31,'Devis Général'!$C$24="Chlore Carbonate",'Client - Tarifs'!K31+'Client - Tarifs'!Q31),0)))</f>
        <v>11.219999999999999</v>
      </c>
      <c r="K31" s="171">
        <f>K25</f>
        <v>1</v>
      </c>
      <c r="L31" s="36">
        <f t="shared" si="0"/>
        <v>11.219999999999999</v>
      </c>
      <c r="N31" s="65">
        <f t="shared" si="1"/>
        <v>4.68</v>
      </c>
      <c r="O31" s="171">
        <f>O25</f>
        <v>1</v>
      </c>
      <c r="P31" s="36">
        <f t="shared" si="2"/>
        <v>4.68</v>
      </c>
    </row>
    <row r="32" spans="2:16" ht="28.5" customHeight="1" thickBot="1" x14ac:dyDescent="0.25">
      <c r="B32" s="84" t="s">
        <v>25</v>
      </c>
      <c r="C32" s="26"/>
      <c r="D32" s="170" cm="1">
        <f t="array" ref="D32">IF($D24="OUI",_xlfn.IFS($C$24="Be",'Client - Tarifs'!E17,'Devis Général'!$C$24="Al",'Client - Tarifs'!E17,'Devis Général'!$C$24="Al+Be",'Client - Tarifs'!E17,'Devis Général'!$C$24="Chlore Silicate",'Client - Tarifs'!E32,'Devis Général'!$C$24="Chlore Carbonate",'Client - Tarifs'!E32),0)</f>
        <v>49.52</v>
      </c>
      <c r="E32" s="170" cm="1">
        <f t="array" ref="E32">IF(E$24="OUI",_xlfn.IFS($C$24="Be",'Client - Tarifs'!H17,'Devis Général'!$C$24="Al",'Client - Tarifs'!H17,'Devis Général'!$C$24="Al+Be",'Client - Tarifs'!H17,'Devis Général'!$C$24="Chlore Silicate",'Client - Tarifs'!H32,'Devis Général'!$C$24="Chlore Carbonate",'Client - Tarifs'!H32),0)</f>
        <v>49.52</v>
      </c>
      <c r="F32" s="170" cm="1">
        <f t="array" ref="F32">IF(F$24="OUI",_xlfn.IFS($C$24="Be",'Client - Tarifs'!K17,'Devis Général'!$C$24="Al",'Client - Tarifs'!K17+'Client - Tarifs'!N17,'Devis Général'!$C$24="Al+Be",'Client - Tarifs'!K17+'Client - Tarifs'!N17,'Devis Général'!$C$24="Chlore Silicate",'Client - Tarifs'!N32,'Devis Général'!$C$24="Chlore Carbonate",'Client - Tarifs'!K32+'Client - Tarifs'!Q32),0)</f>
        <v>49.52</v>
      </c>
      <c r="G32" s="36" cm="1">
        <f t="array" ref="G32">IF(G$24="OUI",_xlfn.IFS($C$24="Be",'Client - Tarifs'!B58,'Devis Général'!$C$24="Al",'Client - Tarifs'!B58,'Devis Général'!$C$24="Al+Be",'Client - Tarifs'!B58*2,'Devis Général'!$C$24="Chlore Silicate",'Client - Tarifs'!F58,'Devis Général'!$C$24="Chlore Carbonate",'Client - Tarifs'!F58),0)</f>
        <v>30.63</v>
      </c>
      <c r="J32" s="65" cm="1">
        <f t="array" ref="J32">IF(D$24="OUI",_xlfn.IFS($C$24="Be",'Client - Tarifs'!E17,'Devis Général'!$C$24="Al",'Client - Tarifs'!E17,'Devis Général'!$C$24="Al+Be",'Client - Tarifs'!E17,'Devis Général'!$C$24="Chlore Silicate",'Client - Tarifs'!E32,'Devis Général'!$C$24="Chlore Carbonate",'Client - Tarifs'!E32),0)+IF(E$24="OUI",_xlfn.IFS($C$24="Be",'Client - Tarifs'!H17,'Devis Général'!$C$24="Al",'Client - Tarifs'!H17,'Devis Général'!$C$24="Al+Be",'Client - Tarifs'!H17,'Devis Général'!$C$24="Chlore Silicate",'Client - Tarifs'!H32,'Devis Général'!$C$24="Chlore Carbonate",'Client - Tarifs'!H32),0)+IF(F$24="OUI",_xlfn.IFS($C$24="Be",'Client - Tarifs'!K17,'Devis Général'!$C$24="Al",'Client - Tarifs'!K17+'Client - Tarifs'!N17,'Devis Général'!$C$24="Al+Be",'Client - Tarifs'!K17+'Client - Tarifs'!N17,'Devis Général'!$C$24="Chlore Silicate",'Client - Tarifs'!N32,'Devis Général'!$C$24="Chlore Carbonate",'Client - Tarifs'!K32+'Client - Tarifs'!Q32),0)</f>
        <v>148.56</v>
      </c>
      <c r="K32" s="173">
        <f>K25</f>
        <v>1</v>
      </c>
      <c r="L32" s="174">
        <f t="shared" si="0"/>
        <v>148.56</v>
      </c>
      <c r="N32" s="65">
        <f t="shared" si="1"/>
        <v>30.63</v>
      </c>
      <c r="O32" s="173">
        <f>O25</f>
        <v>1</v>
      </c>
      <c r="P32" s="174">
        <f t="shared" si="2"/>
        <v>30.63</v>
      </c>
    </row>
    <row r="33" spans="2:16" ht="25" thickBot="1" x14ac:dyDescent="0.25">
      <c r="B33" s="85" t="s">
        <v>29</v>
      </c>
      <c r="C33" s="46"/>
      <c r="D33" s="152" cm="1">
        <f t="array" ref="D33">IF($D$24="OUI",(IF(D$10="OUI",_xlfn.IFS($C$24="Be",'Client - Tarifs'!E18-'Client - Tarifs'!E16,'Devis Général'!$C$24="Al",'Client - Tarifs'!E18-'Client - Tarifs'!E16,'Devis Général'!$C$24="Al+Be",'Client - Tarifs'!E18-'Client - Tarifs'!E16,'Devis Général'!$C$24="Chlore Silicate",'Client - Tarifs'!E33-'Client - Tarifs'!E31,'Devis Général'!$C$24="Chlore Carbonate",'Client - Tarifs'!E33-'Client - Tarifs'!E31),_xlfn.IFS(C$24="Be",'Client - Tarifs'!E18,'Devis Général'!$C$24="Al",'Client - Tarifs'!E18,'Devis Général'!$C$24="Al+Be",'Client - Tarifs'!E18,'Devis Général'!$C$24="Chlore Silicate",'Client - Tarifs'!E33,'Devis Général'!$C$24="Chlore Carbonate",'Client - Tarifs'!E33))),0)</f>
        <v>75.36</v>
      </c>
      <c r="E33" s="152" cm="1">
        <f t="array" ref="E33">IF($E$24="OUI",(IF(D$10="OUI",_xlfn.IFS($C$24="Be",'Client - Tarifs'!H18-'Client - Tarifs'!H16,'Devis Général'!$C$24="Al",'Client - Tarifs'!H18-'Client - Tarifs'!H16,'Devis Général'!$C$24="Al+Be",'Client - Tarifs'!H18-'Client - Tarifs'!H16,'Devis Général'!$C$24="Chlore Silicate",'Client - Tarifs'!H33-'Client - Tarifs'!H31,'Devis Général'!$C$24="Chlore Carbonate",'Client - Tarifs'!H33-'Client - Tarifs'!H31),_xlfn.IFS(C$24="Be",'Client - Tarifs'!H18,'Devis Général'!$C$24="Al",'Client - Tarifs'!H18,'Devis Général'!$C$24="Al+Be",'Client - Tarifs'!H18,'Devis Général'!$C$24="Chlore Silicate",'Client - Tarifs'!H33,'Devis Général'!$C$24="Chlore Carbonate",'Client - Tarifs'!H33))),0)</f>
        <v>86.08</v>
      </c>
      <c r="F33" s="152" cm="1">
        <f t="array" ref="F33">IF($F$24="OUI",(IF(D$10="OUI",_xlfn.IFS($C$24="Be",'Client - Tarifs'!K18-'Client - Tarifs'!K16,'Devis Général'!$C$24="Al",'Client - Tarifs'!K18-'Client - Tarifs'!K16+'Client - Tarifs'!N18-'Client - Tarifs'!N16,'Devis Général'!$C$24="Al+Be",'Client - Tarifs'!K18-'Client - Tarifs'!K16+'Client - Tarifs'!N18-'Client - Tarifs'!N16,'Devis Général'!$C$24="Chlore Silicate",'Client - Tarifs'!N33-'Client - Tarifs'!N31,'Devis Général'!$C$24="Chlore Carbonate",'Client - Tarifs'!K33-'Client - Tarifs'!K31+'Client - Tarifs'!Q33-'Client - Tarifs'!Q31),_xlfn.IFS(C$24="Be",'Client - Tarifs'!K18,'Devis Général'!$C$24="Al",'Client - Tarifs'!K18+'Client - Tarifs'!N18,'Devis Général'!$C$24="Al+Be",'Client - Tarifs'!K18+'Client - Tarifs'!N18,'Devis Général'!$C$24="Chlore Silicate",'Client - Tarifs'!N33,'Devis Général'!$C$24="Chlore Carbonate",'Client - Tarifs'!K33+'Client - Tarifs'!Q33))),0)</f>
        <v>158.66</v>
      </c>
      <c r="G33" s="152" cm="1">
        <f t="array" ref="G33">IF($G$24="OUI",(IF(D$10="OUI",_xlfn.IFS($C$24="Be",'Client - Tarifs'!C59,'Devis Général'!$C$24="Al",'Client - Tarifs'!C59,'Devis Général'!$C$24="Al+Be",'Client - Tarifs'!C59*2,'Devis Général'!$C$24="Chlore Silicate",'Client - Tarifs'!G59,'Devis Général'!$C$24="Chlore Carbonate",'Client - Tarifs'!G59),_xlfn.IFS(C$24="Be",'Client - Tarifs'!B59,'Devis Général'!$C$24="Al",'Client - Tarifs'!B59,'Devis Général'!$C$24="Al+Be",'Client - Tarifs'!B59*2,'Devis Général'!$C$24="Chlore Silicate",'Client - Tarifs'!F59,'Devis Général'!$C$24="Chlore Carbonate",'Client - Tarifs'!F59))),0)</f>
        <v>102.2</v>
      </c>
      <c r="J33" s="151" cm="1">
        <f t="array" ref="J33">IF(D10="OUI",_xlfn.IFS(C24="Be",SUM(J25:J32)-J31-0.01,C24="Al",SUM(J25:J32)-J31-0.02,C24="Al+Be",SUM(J25:J32)-J31-0.02,C24="Chlore Carbonate",SUM(J25:J32)-J31,C24="Chlore Silicate",SUM(J25:J32)-J31),_xlfn.IFS(C24="Be",SUM(J25:J32),C24="Al",SUM(J25:J32)-0.02,C24="Al+Be",SUM(J25:J32)-0.02,C24="Chlore Carbonate",SUM(J25:J32),C24="Chlore Silicate",SUM(J25:J32)))</f>
        <v>320.11</v>
      </c>
      <c r="K33" s="175">
        <f>K25</f>
        <v>1</v>
      </c>
      <c r="L33" s="176">
        <f t="shared" si="0"/>
        <v>320.11</v>
      </c>
      <c r="N33" s="151">
        <f>G33</f>
        <v>102.2</v>
      </c>
      <c r="O33" s="175">
        <f>O25</f>
        <v>1</v>
      </c>
      <c r="P33" s="176">
        <f t="shared" si="2"/>
        <v>102.2</v>
      </c>
    </row>
    <row r="34" spans="2:16" s="145" customFormat="1" ht="20" thickBot="1" x14ac:dyDescent="0.25">
      <c r="B34" s="142"/>
      <c r="C34" s="143"/>
      <c r="D34" s="144"/>
      <c r="E34"/>
      <c r="F34"/>
      <c r="J34" s="177"/>
    </row>
    <row r="35" spans="2:16" s="145" customFormat="1" ht="35" thickBot="1" x14ac:dyDescent="0.45">
      <c r="B35" s="142"/>
      <c r="C35" s="143"/>
      <c r="D35" s="144"/>
      <c r="E35"/>
      <c r="F35"/>
      <c r="J35" s="252" t="s">
        <v>110</v>
      </c>
      <c r="K35" s="251">
        <v>1</v>
      </c>
      <c r="L35" s="250">
        <f>K35*F33</f>
        <v>158.66</v>
      </c>
      <c r="N35" s="252" t="s">
        <v>110</v>
      </c>
      <c r="O35" s="253">
        <f>K35</f>
        <v>1</v>
      </c>
      <c r="P35" s="250">
        <f>O35*G33</f>
        <v>102.2</v>
      </c>
    </row>
    <row r="36" spans="2:16" s="145" customFormat="1" ht="20" thickBot="1" x14ac:dyDescent="0.25">
      <c r="B36" s="142"/>
      <c r="C36" s="143"/>
      <c r="D36" s="144"/>
      <c r="E36"/>
      <c r="F36"/>
      <c r="J36" s="177"/>
    </row>
    <row r="37" spans="2:16" ht="26" x14ac:dyDescent="0.3">
      <c r="B37" s="146" t="s">
        <v>56</v>
      </c>
      <c r="C37" s="12"/>
      <c r="D37" s="13"/>
      <c r="E37" s="13"/>
      <c r="F37" s="14"/>
      <c r="J37" s="178" t="s">
        <v>97</v>
      </c>
      <c r="K37" s="179" t="str">
        <f>IF(D10="OUI",0,"20%")</f>
        <v>20%</v>
      </c>
      <c r="L37" s="180">
        <f>K37*(L33+L35)</f>
        <v>95.754000000000005</v>
      </c>
      <c r="N37" s="178" t="s">
        <v>97</v>
      </c>
      <c r="O37" s="179" t="str">
        <f>IF(D10="OUI",0,"20%")</f>
        <v>20%</v>
      </c>
      <c r="P37" s="180">
        <f>O37*(P33+P35)</f>
        <v>40.880000000000003</v>
      </c>
    </row>
    <row r="38" spans="2:16" ht="25" thickBot="1" x14ac:dyDescent="0.35">
      <c r="B38" s="141"/>
      <c r="C38" s="12"/>
      <c r="D38" s="13"/>
      <c r="E38" s="13"/>
      <c r="F38" s="14"/>
      <c r="J38" s="181" t="str">
        <f>IF(D10="OUI","TOTAL Préparation HT","TOTAL préparation TTC")</f>
        <v>TOTAL préparation TTC</v>
      </c>
      <c r="K38" s="182"/>
      <c r="L38" s="183">
        <f>IF(D10="OUI",L33+L35,L33+L37+L35)</f>
        <v>574.524</v>
      </c>
      <c r="N38" s="181" t="str">
        <f>IF(D10="OUI","TOTAL mesure HT","TOTAL mesure TTC")</f>
        <v>TOTAL mesure TTC</v>
      </c>
      <c r="O38" s="182"/>
      <c r="P38" s="183">
        <f>IF(H10="OUI",P33+P35,P33+P37+P35)</f>
        <v>245.28000000000003</v>
      </c>
    </row>
    <row r="39" spans="2:16" ht="24" x14ac:dyDescent="0.3">
      <c r="C39" s="1"/>
      <c r="D39" s="13"/>
      <c r="E39" s="13"/>
      <c r="F39" s="15"/>
      <c r="J39" s="184" t="s">
        <v>14</v>
      </c>
      <c r="O39" s="184" t="s">
        <v>14</v>
      </c>
    </row>
    <row r="40" spans="2:16" ht="32" x14ac:dyDescent="0.2">
      <c r="C40" s="119"/>
      <c r="F40" s="16"/>
      <c r="J40" s="185" t="str">
        <f>IF(C24="Be","DEC246850DR12",IF(C24="Al","DEC246850DR12",IF(C24="Al+Be","DEC246850DR12",IF(C24="Chlore Carbonate","DEC246849DR12",IF(C24="Chlore silicate","DEC246848DR12",)))))</f>
        <v>DEC246850DR12</v>
      </c>
      <c r="O40" s="185" t="str">
        <f>IF(C24="Be","DEC235730DR12",IF(C24="Al","DEC235730DR12",IF(C24="Al+Be","DEC235730DR12",IF(C24="Chlore Carbonate","DEC235731DR12",IF(C24="Chlore silicate","DEC235731DR12",)))))</f>
        <v>DEC235730DR12</v>
      </c>
    </row>
    <row r="41" spans="2:16" ht="21" x14ac:dyDescent="0.25">
      <c r="C41" s="1" t="s">
        <v>15</v>
      </c>
      <c r="D41" s="1"/>
      <c r="E41" s="1"/>
      <c r="F41" s="1"/>
    </row>
    <row r="42" spans="2:16" ht="30" thickBot="1" x14ac:dyDescent="0.3">
      <c r="B42" s="1"/>
      <c r="C42" s="1"/>
      <c r="D42" s="1"/>
      <c r="E42" s="1"/>
      <c r="F42" s="1"/>
      <c r="L42" s="199" t="s">
        <v>107</v>
      </c>
      <c r="M42" s="200"/>
      <c r="N42" s="200"/>
    </row>
    <row r="43" spans="2:16" ht="26" x14ac:dyDescent="0.3">
      <c r="D43" s="17"/>
      <c r="E43" s="17"/>
      <c r="F43" s="17"/>
      <c r="L43" s="178" t="s">
        <v>97</v>
      </c>
      <c r="M43" s="179" t="str">
        <f>IF(D10="OUI",0,"20%")</f>
        <v>20%</v>
      </c>
      <c r="N43" s="180">
        <f>L37+P37</f>
        <v>136.63400000000001</v>
      </c>
    </row>
    <row r="44" spans="2:16" ht="25" thickBot="1" x14ac:dyDescent="0.35">
      <c r="L44" s="181" t="str">
        <f>IF(D10="OUI","TOTAL HT","TOTAL TTC")</f>
        <v>TOTAL TTC</v>
      </c>
      <c r="M44" s="182"/>
      <c r="N44" s="183">
        <f>L38+P38</f>
        <v>819.80400000000009</v>
      </c>
    </row>
    <row r="45" spans="2:16" ht="147.75" customHeight="1" x14ac:dyDescent="0.35">
      <c r="B45" s="194" t="s">
        <v>53</v>
      </c>
      <c r="C45" s="195"/>
      <c r="D45" s="1"/>
      <c r="E45" s="196" t="s">
        <v>109</v>
      </c>
      <c r="F45" s="197"/>
    </row>
    <row r="46" spans="2:16" ht="21" x14ac:dyDescent="0.25">
      <c r="B46" s="19"/>
      <c r="C46" s="20"/>
      <c r="D46" s="1"/>
      <c r="E46" s="19"/>
      <c r="F46" s="20"/>
    </row>
    <row r="47" spans="2:16" ht="19" customHeight="1" x14ac:dyDescent="0.25">
      <c r="B47" s="100"/>
      <c r="C47" s="101"/>
      <c r="D47" s="1"/>
      <c r="E47" s="21"/>
      <c r="F47" s="22"/>
    </row>
    <row r="48" spans="2:16" ht="21" hidden="1" customHeight="1" x14ac:dyDescent="0.25">
      <c r="B48" s="100"/>
      <c r="C48" s="101"/>
      <c r="D48" s="1"/>
      <c r="E48" s="21"/>
      <c r="F48" s="22"/>
    </row>
    <row r="49" spans="2:6" ht="97" customHeight="1" x14ac:dyDescent="0.2">
      <c r="B49" s="100"/>
      <c r="C49" s="101"/>
      <c r="E49" s="21"/>
      <c r="F49" s="22"/>
    </row>
    <row r="50" spans="2:6" ht="21" x14ac:dyDescent="0.2">
      <c r="B50" s="102"/>
      <c r="C50" s="103"/>
      <c r="E50" s="23"/>
      <c r="F50" s="24"/>
    </row>
    <row r="62" spans="2:6" ht="16" x14ac:dyDescent="0.2">
      <c r="B62" s="191" t="s">
        <v>16</v>
      </c>
      <c r="C62" s="191"/>
      <c r="D62" s="191"/>
      <c r="E62" s="191"/>
      <c r="F62" s="191"/>
    </row>
    <row r="63" spans="2:6" ht="167" customHeight="1" x14ac:dyDescent="0.2">
      <c r="B63" s="192" t="s">
        <v>40</v>
      </c>
      <c r="C63" s="193"/>
      <c r="D63" s="193"/>
      <c r="E63" s="193"/>
      <c r="F63" s="193"/>
    </row>
  </sheetData>
  <sheetProtection algorithmName="SHA-512" hashValue="XefMJ5U8Nk4kuqSR0VryNOTtTyohd2NcIcC0b6EX3eQX6SAgzu7v2ANsjG1Z8P92uF7vnkxrnjEg1nxvqGZ25Q==" saltValue="m8N4+FirCCjTcjOlHzBYZQ==" spinCount="100000" sheet="1" objects="1" scenarios="1"/>
  <mergeCells count="18">
    <mergeCell ref="B3:F3"/>
    <mergeCell ref="D10:F10"/>
    <mergeCell ref="D11:F11"/>
    <mergeCell ref="D12:F12"/>
    <mergeCell ref="D13:F13"/>
    <mergeCell ref="N23:P23"/>
    <mergeCell ref="L42:N42"/>
    <mergeCell ref="D19:F19"/>
    <mergeCell ref="D14:F14"/>
    <mergeCell ref="D15:F15"/>
    <mergeCell ref="D16:F16"/>
    <mergeCell ref="C17:F17"/>
    <mergeCell ref="D18:F18"/>
    <mergeCell ref="B62:F62"/>
    <mergeCell ref="B63:F63"/>
    <mergeCell ref="B45:C45"/>
    <mergeCell ref="E45:F45"/>
    <mergeCell ref="J23:L23"/>
  </mergeCells>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964FE8-CFBD-5F47-B90D-6724CB510306}">
          <x14:formula1>
            <xm:f>'Client - Tarifs'!$B$1:$B$5</xm:f>
          </x14:formula1>
          <xm:sqref>C24</xm:sqref>
        </x14:dataValidation>
        <x14:dataValidation type="list" allowBlank="1" showInputMessage="1" showErrorMessage="1" xr:uid="{E64D4CC3-338A-F84F-AC91-06A9E4AEC840}">
          <x14:formula1>
            <xm:f>'Client - Tarifs'!$C$1:$C$2</xm:f>
          </x14:formula1>
          <xm:sqref>D10:F10 D24:G24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BCE3-A1E0-3C45-AB39-AF7027FD70FF}">
  <dimension ref="A1:Q59"/>
  <sheetViews>
    <sheetView zoomScale="130" zoomScaleNormal="130" workbookViewId="0">
      <selection activeCell="C10" sqref="C10"/>
    </sheetView>
  </sheetViews>
  <sheetFormatPr baseColWidth="10" defaultRowHeight="15" x14ac:dyDescent="0.2"/>
  <cols>
    <col min="1" max="1" width="42.83203125" bestFit="1" customWidth="1"/>
    <col min="2" max="2" width="16.83203125" bestFit="1" customWidth="1"/>
    <col min="4" max="4" width="41.1640625" bestFit="1" customWidth="1"/>
    <col min="5" max="5" width="35.33203125" bestFit="1" customWidth="1"/>
    <col min="7" max="7" width="39.1640625" bestFit="1" customWidth="1"/>
    <col min="8" max="8" width="16.83203125" bestFit="1" customWidth="1"/>
    <col min="10" max="10" width="59.6640625" bestFit="1" customWidth="1"/>
    <col min="11" max="11" width="16.83203125" bestFit="1" customWidth="1"/>
    <col min="13" max="13" width="56.33203125" bestFit="1" customWidth="1"/>
    <col min="14" max="14" width="16.83203125" bestFit="1" customWidth="1"/>
    <col min="16" max="16" width="35.33203125" bestFit="1" customWidth="1"/>
    <col min="17" max="17" width="16.33203125" bestFit="1" customWidth="1"/>
  </cols>
  <sheetData>
    <row r="1" spans="1:14" x14ac:dyDescent="0.2">
      <c r="A1" s="154" t="s">
        <v>59</v>
      </c>
      <c r="B1" s="155" t="s">
        <v>85</v>
      </c>
      <c r="C1" s="155" t="s">
        <v>93</v>
      </c>
      <c r="D1" s="155" t="s">
        <v>103</v>
      </c>
    </row>
    <row r="2" spans="1:14" x14ac:dyDescent="0.2">
      <c r="A2" s="154" t="s">
        <v>60</v>
      </c>
      <c r="B2" s="155" t="s">
        <v>86</v>
      </c>
      <c r="C2" s="155" t="s">
        <v>94</v>
      </c>
      <c r="D2" s="155" t="s">
        <v>87</v>
      </c>
    </row>
    <row r="3" spans="1:14" x14ac:dyDescent="0.2">
      <c r="A3" s="154" t="s">
        <v>61</v>
      </c>
      <c r="B3" s="155" t="s">
        <v>87</v>
      </c>
      <c r="C3" s="155"/>
      <c r="D3" s="155" t="s">
        <v>79</v>
      </c>
    </row>
    <row r="4" spans="1:14" x14ac:dyDescent="0.2">
      <c r="A4" s="155"/>
      <c r="B4" s="155" t="s">
        <v>88</v>
      </c>
      <c r="C4" s="155"/>
      <c r="D4" s="155"/>
    </row>
    <row r="5" spans="1:14" x14ac:dyDescent="0.2">
      <c r="A5" s="155"/>
      <c r="B5" s="155" t="s">
        <v>89</v>
      </c>
      <c r="C5" s="155"/>
      <c r="D5" s="155"/>
    </row>
    <row r="6" spans="1:14" ht="27" thickBot="1" x14ac:dyDescent="0.35">
      <c r="A6" s="156" t="s">
        <v>78</v>
      </c>
    </row>
    <row r="7" spans="1:14" s="157" customFormat="1" ht="20" thickBot="1" x14ac:dyDescent="0.3">
      <c r="A7" s="213" t="s">
        <v>73</v>
      </c>
      <c r="B7" s="214"/>
      <c r="D7" s="215" t="s">
        <v>74</v>
      </c>
      <c r="E7" s="216"/>
      <c r="G7" s="217" t="s">
        <v>75</v>
      </c>
      <c r="H7" s="218"/>
      <c r="J7" s="219" t="s">
        <v>76</v>
      </c>
      <c r="K7" s="220"/>
      <c r="M7" s="221" t="s">
        <v>77</v>
      </c>
      <c r="N7" s="222"/>
    </row>
    <row r="8" spans="1:14" s="158" customFormat="1" x14ac:dyDescent="0.2">
      <c r="A8" s="158" t="s">
        <v>62</v>
      </c>
      <c r="B8" s="159" t="s">
        <v>101</v>
      </c>
      <c r="C8" s="160" t="s">
        <v>85</v>
      </c>
      <c r="D8" s="158" t="s">
        <v>62</v>
      </c>
      <c r="G8" s="158" t="s">
        <v>62</v>
      </c>
      <c r="J8" s="158" t="s">
        <v>62</v>
      </c>
      <c r="M8" s="158" t="s">
        <v>62</v>
      </c>
    </row>
    <row r="9" spans="1:14" s="158" customFormat="1" x14ac:dyDescent="0.2">
      <c r="A9" s="158" t="s">
        <v>63</v>
      </c>
      <c r="B9" s="159" t="s">
        <v>64</v>
      </c>
      <c r="C9" s="160"/>
      <c r="D9" s="158" t="s">
        <v>63</v>
      </c>
      <c r="E9" s="158" t="s">
        <v>64</v>
      </c>
      <c r="G9" s="158" t="s">
        <v>63</v>
      </c>
      <c r="H9" s="158" t="s">
        <v>64</v>
      </c>
      <c r="J9" s="158" t="s">
        <v>63</v>
      </c>
      <c r="K9" s="158" t="s">
        <v>64</v>
      </c>
      <c r="M9" s="158" t="s">
        <v>63</v>
      </c>
      <c r="N9" s="158" t="s">
        <v>64</v>
      </c>
    </row>
    <row r="10" spans="1:14" s="158" customFormat="1" x14ac:dyDescent="0.2">
      <c r="A10" s="158" t="s">
        <v>65</v>
      </c>
      <c r="B10" s="159">
        <v>60.14</v>
      </c>
      <c r="C10" s="160">
        <f>B10-N10</f>
        <v>58.49</v>
      </c>
      <c r="D10" s="158" t="s">
        <v>65</v>
      </c>
      <c r="E10" s="158">
        <v>3.65</v>
      </c>
      <c r="G10" s="158" t="s">
        <v>65</v>
      </c>
      <c r="H10" s="158">
        <v>13.67</v>
      </c>
      <c r="J10" s="158" t="s">
        <v>65</v>
      </c>
      <c r="K10" s="158">
        <v>41.16</v>
      </c>
      <c r="M10" s="158" t="s">
        <v>65</v>
      </c>
      <c r="N10" s="158">
        <v>1.65</v>
      </c>
    </row>
    <row r="11" spans="1:14" s="158" customFormat="1" x14ac:dyDescent="0.2">
      <c r="A11" s="158" t="s">
        <v>66</v>
      </c>
      <c r="B11" s="159">
        <v>27.45</v>
      </c>
      <c r="C11" s="160">
        <f t="shared" ref="C11:C17" si="0">B11-N11</f>
        <v>17.86</v>
      </c>
      <c r="D11" s="158" t="s">
        <v>66</v>
      </c>
      <c r="E11" s="158">
        <v>0</v>
      </c>
      <c r="G11" s="158" t="s">
        <v>66</v>
      </c>
      <c r="H11" s="158">
        <v>0</v>
      </c>
      <c r="J11" s="158" t="s">
        <v>66</v>
      </c>
      <c r="K11" s="158">
        <v>17.87</v>
      </c>
      <c r="M11" s="158" t="s">
        <v>66</v>
      </c>
      <c r="N11" s="158">
        <v>9.59</v>
      </c>
    </row>
    <row r="12" spans="1:14" s="158" customFormat="1" x14ac:dyDescent="0.2">
      <c r="A12" s="158" t="s">
        <v>67</v>
      </c>
      <c r="B12" s="159">
        <v>23.92</v>
      </c>
      <c r="C12" s="160">
        <f t="shared" si="0"/>
        <v>22.470000000000002</v>
      </c>
      <c r="D12" s="158" t="s">
        <v>67</v>
      </c>
      <c r="E12" s="158">
        <v>0</v>
      </c>
      <c r="G12" s="158" t="s">
        <v>67</v>
      </c>
      <c r="H12" s="158">
        <v>0</v>
      </c>
      <c r="J12" s="158" t="s">
        <v>67</v>
      </c>
      <c r="K12" s="158">
        <v>22.47</v>
      </c>
      <c r="M12" s="158" t="s">
        <v>67</v>
      </c>
      <c r="N12" s="158">
        <v>1.45</v>
      </c>
    </row>
    <row r="13" spans="1:14" s="158" customFormat="1" x14ac:dyDescent="0.2">
      <c r="A13" s="158" t="s">
        <v>68</v>
      </c>
      <c r="B13" s="159">
        <v>61.5</v>
      </c>
      <c r="C13" s="160">
        <f t="shared" si="0"/>
        <v>61.5</v>
      </c>
      <c r="D13" s="158" t="s">
        <v>68</v>
      </c>
      <c r="E13" s="158">
        <v>20.5</v>
      </c>
      <c r="G13" s="158" t="s">
        <v>68</v>
      </c>
      <c r="H13" s="158">
        <v>20.5</v>
      </c>
      <c r="J13" s="158" t="s">
        <v>68</v>
      </c>
      <c r="K13" s="158">
        <v>20.5</v>
      </c>
      <c r="M13" s="158" t="s">
        <v>68</v>
      </c>
      <c r="N13" s="158">
        <v>0</v>
      </c>
    </row>
    <row r="14" spans="1:14" s="158" customFormat="1" x14ac:dyDescent="0.2">
      <c r="A14" s="158" t="s">
        <v>69</v>
      </c>
      <c r="B14" s="159">
        <v>0</v>
      </c>
      <c r="C14" s="160">
        <f t="shared" si="0"/>
        <v>0</v>
      </c>
      <c r="D14" s="158" t="s">
        <v>69</v>
      </c>
      <c r="E14" s="158">
        <v>0</v>
      </c>
      <c r="G14" s="158" t="s">
        <v>69</v>
      </c>
      <c r="H14" s="158">
        <v>0</v>
      </c>
      <c r="J14" s="158" t="s">
        <v>69</v>
      </c>
      <c r="K14" s="158">
        <v>0</v>
      </c>
      <c r="M14" s="158" t="s">
        <v>69</v>
      </c>
      <c r="N14" s="158">
        <v>0</v>
      </c>
    </row>
    <row r="15" spans="1:14" s="158" customFormat="1" x14ac:dyDescent="0.2">
      <c r="A15" s="158" t="s">
        <v>70</v>
      </c>
      <c r="B15" s="159">
        <v>0</v>
      </c>
      <c r="C15" s="160">
        <f t="shared" si="0"/>
        <v>0</v>
      </c>
      <c r="D15" s="158" t="s">
        <v>70</v>
      </c>
      <c r="E15" s="158">
        <v>0</v>
      </c>
      <c r="G15" s="158" t="s">
        <v>70</v>
      </c>
      <c r="H15" s="158">
        <v>0</v>
      </c>
      <c r="J15" s="158" t="s">
        <v>70</v>
      </c>
      <c r="K15" s="158">
        <v>0</v>
      </c>
      <c r="M15" s="158" t="s">
        <v>70</v>
      </c>
      <c r="N15" s="158">
        <v>0</v>
      </c>
    </row>
    <row r="16" spans="1:14" s="158" customFormat="1" x14ac:dyDescent="0.2">
      <c r="A16" s="158" t="s">
        <v>71</v>
      </c>
      <c r="B16" s="159">
        <v>12.11</v>
      </c>
      <c r="C16" s="160">
        <f>B16-N16-0.01</f>
        <v>11.209999999999999</v>
      </c>
      <c r="D16" s="158" t="s">
        <v>71</v>
      </c>
      <c r="E16" s="158">
        <v>1.69</v>
      </c>
      <c r="G16" s="158" t="s">
        <v>71</v>
      </c>
      <c r="H16" s="158">
        <v>2.39</v>
      </c>
      <c r="J16" s="158" t="s">
        <v>71</v>
      </c>
      <c r="K16" s="158">
        <v>7.14</v>
      </c>
      <c r="M16" s="158" t="s">
        <v>71</v>
      </c>
      <c r="N16" s="158">
        <v>0.89</v>
      </c>
    </row>
    <row r="17" spans="1:17" s="158" customFormat="1" x14ac:dyDescent="0.2">
      <c r="A17" s="158" t="s">
        <v>0</v>
      </c>
      <c r="B17" s="159">
        <v>198.07</v>
      </c>
      <c r="C17" s="160">
        <f t="shared" si="0"/>
        <v>148.54999999999998</v>
      </c>
      <c r="D17" s="158" t="s">
        <v>0</v>
      </c>
      <c r="E17" s="158">
        <v>49.52</v>
      </c>
      <c r="G17" s="158" t="s">
        <v>0</v>
      </c>
      <c r="H17" s="158">
        <v>49.52</v>
      </c>
      <c r="J17" s="158" t="s">
        <v>0</v>
      </c>
      <c r="K17" s="158">
        <v>49.52</v>
      </c>
      <c r="M17" s="158" t="s">
        <v>0</v>
      </c>
      <c r="N17" s="158">
        <v>49.52</v>
      </c>
    </row>
    <row r="18" spans="1:17" s="158" customFormat="1" x14ac:dyDescent="0.2">
      <c r="A18" s="158" t="s">
        <v>72</v>
      </c>
      <c r="B18" s="159">
        <v>383.18</v>
      </c>
      <c r="C18" s="160">
        <v>320.11</v>
      </c>
      <c r="D18" s="158" t="s">
        <v>72</v>
      </c>
      <c r="E18" s="158">
        <v>75.36</v>
      </c>
      <c r="G18" s="158" t="s">
        <v>72</v>
      </c>
      <c r="H18" s="158">
        <v>86.08</v>
      </c>
      <c r="J18" s="158" t="s">
        <v>72</v>
      </c>
      <c r="K18" s="158">
        <v>158.66</v>
      </c>
      <c r="L18" s="158">
        <f>K18-K16</f>
        <v>151.52000000000001</v>
      </c>
      <c r="M18" s="158" t="s">
        <v>72</v>
      </c>
      <c r="N18" s="158">
        <v>63.08</v>
      </c>
    </row>
    <row r="19" spans="1:17" x14ac:dyDescent="0.2">
      <c r="B19" s="161">
        <f>B18-B16</f>
        <v>371.07</v>
      </c>
      <c r="C19" s="161">
        <v>308.88</v>
      </c>
    </row>
    <row r="21" spans="1:17" ht="26" x14ac:dyDescent="0.3">
      <c r="A21" s="156" t="s">
        <v>79</v>
      </c>
    </row>
    <row r="22" spans="1:17" ht="6" customHeight="1" thickBot="1" x14ac:dyDescent="0.25"/>
    <row r="23" spans="1:17" ht="32" customHeight="1" thickBot="1" x14ac:dyDescent="0.3">
      <c r="A23" s="209" t="s">
        <v>80</v>
      </c>
      <c r="B23" s="210"/>
      <c r="C23" s="162"/>
      <c r="D23" s="163" t="s">
        <v>74</v>
      </c>
      <c r="E23" s="164"/>
      <c r="F23" s="162"/>
      <c r="G23" s="165" t="s">
        <v>75</v>
      </c>
      <c r="H23" s="166"/>
      <c r="I23" s="162"/>
      <c r="J23" s="167" t="s">
        <v>82</v>
      </c>
      <c r="K23" s="168"/>
      <c r="L23" s="162"/>
      <c r="M23" s="167" t="s">
        <v>83</v>
      </c>
      <c r="N23" s="168"/>
      <c r="O23" s="162"/>
      <c r="P23" s="211" t="s">
        <v>84</v>
      </c>
      <c r="Q23" s="212"/>
    </row>
    <row r="24" spans="1:17" x14ac:dyDescent="0.2">
      <c r="A24" t="s">
        <v>63</v>
      </c>
      <c r="B24" t="s">
        <v>64</v>
      </c>
      <c r="D24" t="s">
        <v>63</v>
      </c>
      <c r="E24" t="s">
        <v>64</v>
      </c>
      <c r="G24" t="s">
        <v>63</v>
      </c>
      <c r="H24" t="s">
        <v>64</v>
      </c>
      <c r="J24" t="s">
        <v>63</v>
      </c>
      <c r="K24" t="s">
        <v>64</v>
      </c>
      <c r="M24" t="s">
        <v>63</v>
      </c>
      <c r="N24" t="s">
        <v>64</v>
      </c>
      <c r="P24" t="s">
        <v>63</v>
      </c>
      <c r="Q24" t="s">
        <v>64</v>
      </c>
    </row>
    <row r="25" spans="1:17" x14ac:dyDescent="0.2">
      <c r="A25" t="s">
        <v>65</v>
      </c>
      <c r="B25">
        <v>28.27</v>
      </c>
      <c r="D25" t="s">
        <v>65</v>
      </c>
      <c r="E25">
        <v>2.5</v>
      </c>
      <c r="G25" t="s">
        <v>65</v>
      </c>
      <c r="H25">
        <v>14.73</v>
      </c>
      <c r="J25" t="s">
        <v>65</v>
      </c>
      <c r="K25">
        <v>9.5299999999999994</v>
      </c>
      <c r="M25" t="s">
        <v>65</v>
      </c>
      <c r="N25">
        <v>28.23</v>
      </c>
      <c r="P25" t="s">
        <v>65</v>
      </c>
      <c r="Q25">
        <v>1.51</v>
      </c>
    </row>
    <row r="26" spans="1:17" x14ac:dyDescent="0.2">
      <c r="A26" t="s">
        <v>66</v>
      </c>
      <c r="B26">
        <v>8.27</v>
      </c>
      <c r="D26" t="s">
        <v>66</v>
      </c>
      <c r="E26">
        <v>0</v>
      </c>
      <c r="G26" t="s">
        <v>66</v>
      </c>
      <c r="H26">
        <v>0</v>
      </c>
      <c r="J26" t="s">
        <v>66</v>
      </c>
      <c r="K26">
        <v>5.77</v>
      </c>
      <c r="M26" t="s">
        <v>66</v>
      </c>
      <c r="N26">
        <v>17.32</v>
      </c>
      <c r="P26" t="s">
        <v>66</v>
      </c>
      <c r="Q26">
        <v>2.5</v>
      </c>
    </row>
    <row r="27" spans="1:17" x14ac:dyDescent="0.2">
      <c r="A27" t="s">
        <v>67</v>
      </c>
      <c r="B27">
        <v>1.83</v>
      </c>
      <c r="D27" t="s">
        <v>67</v>
      </c>
      <c r="E27">
        <v>0</v>
      </c>
      <c r="G27" t="s">
        <v>67</v>
      </c>
      <c r="H27">
        <v>0</v>
      </c>
      <c r="J27" t="s">
        <v>67</v>
      </c>
      <c r="K27">
        <v>0.63</v>
      </c>
      <c r="M27" t="s">
        <v>67</v>
      </c>
      <c r="N27">
        <v>1.9</v>
      </c>
      <c r="P27" t="s">
        <v>67</v>
      </c>
      <c r="Q27">
        <v>1.2</v>
      </c>
    </row>
    <row r="28" spans="1:17" x14ac:dyDescent="0.2">
      <c r="A28" t="s">
        <v>68</v>
      </c>
      <c r="B28">
        <v>8.5399999999999991</v>
      </c>
      <c r="D28" t="s">
        <v>68</v>
      </c>
      <c r="E28">
        <v>2.56</v>
      </c>
      <c r="G28" t="s">
        <v>68</v>
      </c>
      <c r="H28">
        <v>2.56</v>
      </c>
      <c r="J28" t="s">
        <v>68</v>
      </c>
      <c r="K28">
        <v>3.42</v>
      </c>
      <c r="M28" t="s">
        <v>68</v>
      </c>
      <c r="N28">
        <v>25.62</v>
      </c>
      <c r="P28" t="s">
        <v>68</v>
      </c>
      <c r="Q28">
        <v>0</v>
      </c>
    </row>
    <row r="29" spans="1:17" x14ac:dyDescent="0.2">
      <c r="A29" t="s">
        <v>69</v>
      </c>
      <c r="B29">
        <v>0</v>
      </c>
      <c r="D29" t="s">
        <v>69</v>
      </c>
      <c r="E29">
        <v>0</v>
      </c>
      <c r="G29" t="s">
        <v>69</v>
      </c>
      <c r="H29">
        <v>0</v>
      </c>
      <c r="J29" t="s">
        <v>69</v>
      </c>
      <c r="K29">
        <v>0</v>
      </c>
      <c r="M29" t="s">
        <v>69</v>
      </c>
      <c r="N29">
        <v>0</v>
      </c>
      <c r="P29" t="s">
        <v>69</v>
      </c>
      <c r="Q29">
        <v>0</v>
      </c>
    </row>
    <row r="30" spans="1:17" x14ac:dyDescent="0.2">
      <c r="A30" t="s">
        <v>70</v>
      </c>
      <c r="B30">
        <v>0</v>
      </c>
      <c r="D30" t="s">
        <v>70</v>
      </c>
      <c r="E30">
        <v>0</v>
      </c>
      <c r="G30" t="s">
        <v>70</v>
      </c>
      <c r="H30">
        <v>0</v>
      </c>
      <c r="J30" t="s">
        <v>70</v>
      </c>
      <c r="K30">
        <v>0</v>
      </c>
      <c r="M30" t="s">
        <v>70</v>
      </c>
      <c r="N30">
        <v>0</v>
      </c>
      <c r="P30" t="s">
        <v>70</v>
      </c>
      <c r="Q30">
        <v>0</v>
      </c>
    </row>
    <row r="31" spans="1:17" x14ac:dyDescent="0.2">
      <c r="A31" t="s">
        <v>71</v>
      </c>
      <c r="B31">
        <v>3.27</v>
      </c>
      <c r="D31" t="s">
        <v>71</v>
      </c>
      <c r="E31">
        <v>0.35</v>
      </c>
      <c r="G31" t="s">
        <v>71</v>
      </c>
      <c r="H31">
        <v>1.21</v>
      </c>
      <c r="J31" t="s">
        <v>71</v>
      </c>
      <c r="K31">
        <v>1.35</v>
      </c>
      <c r="M31" t="s">
        <v>71</v>
      </c>
      <c r="N31">
        <v>5.12</v>
      </c>
      <c r="P31" t="s">
        <v>71</v>
      </c>
      <c r="Q31">
        <v>0.36</v>
      </c>
    </row>
    <row r="32" spans="1:17" x14ac:dyDescent="0.2">
      <c r="A32" t="s">
        <v>0</v>
      </c>
      <c r="B32">
        <v>144.72</v>
      </c>
      <c r="D32" t="s">
        <v>0</v>
      </c>
      <c r="E32">
        <v>30.95</v>
      </c>
      <c r="G32" t="s">
        <v>0</v>
      </c>
      <c r="H32">
        <f>E32</f>
        <v>30.95</v>
      </c>
      <c r="J32" t="s">
        <v>0</v>
      </c>
      <c r="K32">
        <v>41.26</v>
      </c>
      <c r="M32" t="s">
        <v>0</v>
      </c>
      <c r="N32">
        <v>123.79</v>
      </c>
      <c r="P32" t="s">
        <v>0</v>
      </c>
      <c r="Q32">
        <v>41.26</v>
      </c>
    </row>
    <row r="33" spans="1:17" x14ac:dyDescent="0.2">
      <c r="A33" t="s">
        <v>72</v>
      </c>
      <c r="B33">
        <v>194.6</v>
      </c>
      <c r="C33">
        <f>B33-B31</f>
        <v>191.32999999999998</v>
      </c>
      <c r="D33" t="s">
        <v>72</v>
      </c>
      <c r="E33">
        <f>SUM(E25:E32)</f>
        <v>36.36</v>
      </c>
      <c r="G33" t="s">
        <v>72</v>
      </c>
      <c r="H33">
        <f>SUM(H25:H32)</f>
        <v>49.45</v>
      </c>
      <c r="J33" t="s">
        <v>72</v>
      </c>
      <c r="K33">
        <f>SUM(K25:K32)</f>
        <v>61.96</v>
      </c>
      <c r="M33" t="s">
        <v>72</v>
      </c>
      <c r="N33">
        <f>SUM(N25:N32)</f>
        <v>201.98000000000002</v>
      </c>
      <c r="P33" t="s">
        <v>72</v>
      </c>
      <c r="Q33">
        <f>SUM(Q25:Q32)</f>
        <v>46.83</v>
      </c>
    </row>
    <row r="34" spans="1:17" ht="16" thickBot="1" x14ac:dyDescent="0.25"/>
    <row r="35" spans="1:17" ht="20" thickBot="1" x14ac:dyDescent="0.25">
      <c r="A35" s="209" t="s">
        <v>81</v>
      </c>
      <c r="B35" s="210"/>
    </row>
    <row r="36" spans="1:17" x14ac:dyDescent="0.2">
      <c r="A36" t="s">
        <v>63</v>
      </c>
      <c r="B36" t="s">
        <v>64</v>
      </c>
    </row>
    <row r="37" spans="1:17" x14ac:dyDescent="0.2">
      <c r="A37" t="s">
        <v>65</v>
      </c>
      <c r="B37">
        <v>45.46</v>
      </c>
    </row>
    <row r="38" spans="1:17" x14ac:dyDescent="0.2">
      <c r="A38" t="s">
        <v>66</v>
      </c>
      <c r="B38">
        <v>17.32</v>
      </c>
    </row>
    <row r="39" spans="1:17" x14ac:dyDescent="0.2">
      <c r="A39" t="s">
        <v>67</v>
      </c>
      <c r="B39">
        <v>1.9</v>
      </c>
    </row>
    <row r="40" spans="1:17" x14ac:dyDescent="0.2">
      <c r="A40" t="s">
        <v>68</v>
      </c>
      <c r="B40">
        <v>30.74</v>
      </c>
    </row>
    <row r="41" spans="1:17" x14ac:dyDescent="0.2">
      <c r="A41" t="s">
        <v>69</v>
      </c>
      <c r="B41">
        <v>0</v>
      </c>
    </row>
    <row r="42" spans="1:17" x14ac:dyDescent="0.2">
      <c r="A42" t="s">
        <v>70</v>
      </c>
      <c r="B42">
        <v>0</v>
      </c>
    </row>
    <row r="43" spans="1:17" x14ac:dyDescent="0.2">
      <c r="A43" t="s">
        <v>71</v>
      </c>
      <c r="B43">
        <v>6.68</v>
      </c>
    </row>
    <row r="44" spans="1:17" x14ac:dyDescent="0.2">
      <c r="A44" t="s">
        <v>0</v>
      </c>
      <c r="B44">
        <v>185.69</v>
      </c>
    </row>
    <row r="45" spans="1:17" x14ac:dyDescent="0.2">
      <c r="A45" t="s">
        <v>72</v>
      </c>
      <c r="B45">
        <v>287.79000000000002</v>
      </c>
      <c r="C45">
        <f>B45-B43</f>
        <v>281.11</v>
      </c>
      <c r="D45">
        <f>E33+H33+N33</f>
        <v>287.79000000000002</v>
      </c>
    </row>
    <row r="48" spans="1:17" ht="16" thickBot="1" x14ac:dyDescent="0.25"/>
    <row r="49" spans="1:7" ht="20" thickBot="1" x14ac:dyDescent="0.25">
      <c r="A49" s="205" t="s">
        <v>104</v>
      </c>
      <c r="B49" s="206"/>
      <c r="E49" s="207" t="s">
        <v>105</v>
      </c>
      <c r="F49" s="208"/>
      <c r="G49" s="208"/>
    </row>
    <row r="50" spans="1:7" x14ac:dyDescent="0.2">
      <c r="A50" t="s">
        <v>63</v>
      </c>
      <c r="B50" t="s">
        <v>64</v>
      </c>
      <c r="E50" t="s">
        <v>63</v>
      </c>
      <c r="F50" t="s">
        <v>64</v>
      </c>
    </row>
    <row r="51" spans="1:7" x14ac:dyDescent="0.2">
      <c r="A51" t="s">
        <v>65</v>
      </c>
      <c r="B51">
        <v>6.51</v>
      </c>
      <c r="E51" t="s">
        <v>65</v>
      </c>
      <c r="F51">
        <v>19.510000000000002</v>
      </c>
    </row>
    <row r="52" spans="1:7" x14ac:dyDescent="0.2">
      <c r="A52" t="s">
        <v>66</v>
      </c>
      <c r="B52">
        <v>2.97</v>
      </c>
      <c r="E52" t="s">
        <v>66</v>
      </c>
      <c r="F52">
        <v>8.91</v>
      </c>
    </row>
    <row r="53" spans="1:7" x14ac:dyDescent="0.2">
      <c r="A53" t="s">
        <v>67</v>
      </c>
      <c r="B53">
        <v>10.76</v>
      </c>
      <c r="E53" t="s">
        <v>67</v>
      </c>
      <c r="F53">
        <v>32.22</v>
      </c>
    </row>
    <row r="54" spans="1:7" x14ac:dyDescent="0.2">
      <c r="A54" t="s">
        <v>68</v>
      </c>
      <c r="B54">
        <v>46.64</v>
      </c>
      <c r="E54" t="s">
        <v>68</v>
      </c>
      <c r="F54">
        <v>58.2</v>
      </c>
    </row>
    <row r="55" spans="1:7" x14ac:dyDescent="0.2">
      <c r="A55" t="s">
        <v>69</v>
      </c>
      <c r="E55" t="s">
        <v>69</v>
      </c>
    </row>
    <row r="56" spans="1:7" x14ac:dyDescent="0.2">
      <c r="A56" t="s">
        <v>70</v>
      </c>
      <c r="E56" t="s">
        <v>70</v>
      </c>
    </row>
    <row r="57" spans="1:7" x14ac:dyDescent="0.2">
      <c r="A57" t="s">
        <v>71</v>
      </c>
      <c r="B57">
        <v>4.68</v>
      </c>
      <c r="E57" t="s">
        <v>71</v>
      </c>
      <c r="F57">
        <v>8.32</v>
      </c>
    </row>
    <row r="58" spans="1:7" x14ac:dyDescent="0.2">
      <c r="A58" t="s">
        <v>0</v>
      </c>
      <c r="B58">
        <v>30.63</v>
      </c>
      <c r="E58" t="s">
        <v>0</v>
      </c>
      <c r="F58">
        <v>38.229999999999997</v>
      </c>
    </row>
    <row r="59" spans="1:7" x14ac:dyDescent="0.2">
      <c r="A59" t="s">
        <v>72</v>
      </c>
      <c r="B59">
        <v>102.2</v>
      </c>
      <c r="C59">
        <v>97.51</v>
      </c>
      <c r="E59" t="s">
        <v>72</v>
      </c>
      <c r="F59">
        <v>165.39</v>
      </c>
      <c r="G59">
        <v>118.84</v>
      </c>
    </row>
  </sheetData>
  <sheetProtection algorithmName="SHA-512" hashValue="9Don5N5jfkMoeS8KxfNCysexZlo+c4ntVSkE5vO4gAaqB+jJB86zKvl098LT36bVYUR4QP2OMJBAujMZ8vb3HQ==" saltValue="v7/fUCpUQRe735RvTFGB+A==" spinCount="100000" sheet="1" objects="1" scenarios="1"/>
  <mergeCells count="10">
    <mergeCell ref="A49:B49"/>
    <mergeCell ref="E49:G49"/>
    <mergeCell ref="A35:B35"/>
    <mergeCell ref="P23:Q23"/>
    <mergeCell ref="A7:B7"/>
    <mergeCell ref="D7:E7"/>
    <mergeCell ref="G7:H7"/>
    <mergeCell ref="J7:K7"/>
    <mergeCell ref="M7:N7"/>
    <mergeCell ref="A23:B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9C0C-A71E-4BFF-8332-8D800A9FC0C4}">
  <sheetPr>
    <pageSetUpPr fitToPage="1"/>
  </sheetPr>
  <dimension ref="B3:F53"/>
  <sheetViews>
    <sheetView topLeftCell="A5" workbookViewId="0">
      <selection activeCell="I13" sqref="I13"/>
    </sheetView>
  </sheetViews>
  <sheetFormatPr baseColWidth="10" defaultRowHeight="15" x14ac:dyDescent="0.2"/>
  <cols>
    <col min="2" max="2" width="49.83203125" customWidth="1"/>
    <col min="3" max="3" width="35.5" customWidth="1"/>
    <col min="4" max="4" width="20.1640625" customWidth="1"/>
    <col min="5" max="5" width="18.1640625" customWidth="1"/>
    <col min="6" max="6" width="31.5" customWidth="1"/>
  </cols>
  <sheetData>
    <row r="3" spans="2:6" ht="21" x14ac:dyDescent="0.25">
      <c r="B3" s="89" t="s">
        <v>35</v>
      </c>
    </row>
    <row r="5" spans="2:6" ht="24" x14ac:dyDescent="0.2">
      <c r="B5" s="204" t="s">
        <v>50</v>
      </c>
      <c r="C5" s="204"/>
      <c r="D5" s="204"/>
      <c r="E5" s="204"/>
      <c r="F5" s="204"/>
    </row>
    <row r="6" spans="2:6" ht="24" x14ac:dyDescent="0.2">
      <c r="B6" s="27"/>
      <c r="C6" s="27"/>
      <c r="D6" s="27"/>
      <c r="E6" s="27"/>
      <c r="F6" s="27"/>
    </row>
    <row r="7" spans="2:6" ht="21" x14ac:dyDescent="0.25">
      <c r="B7" s="1"/>
      <c r="C7" s="1"/>
      <c r="D7" s="1"/>
      <c r="E7" s="2" t="s">
        <v>1</v>
      </c>
      <c r="F7" s="104">
        <f>'Devis Général'!F5</f>
        <v>0</v>
      </c>
    </row>
    <row r="8" spans="2:6" ht="21" x14ac:dyDescent="0.25">
      <c r="B8" s="1"/>
      <c r="C8" s="1"/>
      <c r="D8" s="1"/>
      <c r="E8" s="1"/>
      <c r="F8" s="12"/>
    </row>
    <row r="9" spans="2:6" ht="21" x14ac:dyDescent="0.25">
      <c r="B9" s="1"/>
      <c r="C9" s="1"/>
      <c r="D9" s="1"/>
      <c r="E9" s="3" t="s">
        <v>2</v>
      </c>
      <c r="F9" s="105">
        <f>'Devis Général'!F7</f>
        <v>0</v>
      </c>
    </row>
    <row r="10" spans="2:6" ht="21" x14ac:dyDescent="0.25">
      <c r="B10" s="1"/>
      <c r="C10" s="1"/>
      <c r="D10" s="1"/>
      <c r="E10" s="1"/>
      <c r="F10" s="1"/>
    </row>
    <row r="11" spans="2:6" ht="22" thickBot="1" x14ac:dyDescent="0.3">
      <c r="B11" s="1"/>
      <c r="C11" s="1"/>
      <c r="D11" s="1"/>
      <c r="E11" s="1"/>
      <c r="F11" s="1"/>
    </row>
    <row r="12" spans="2:6" ht="30" customHeight="1" x14ac:dyDescent="0.2">
      <c r="B12" s="4" t="s">
        <v>3</v>
      </c>
      <c r="C12" s="5" t="s">
        <v>4</v>
      </c>
      <c r="D12" s="229" t="str">
        <f>'Devis Général'!D10:F10</f>
        <v>NON</v>
      </c>
      <c r="E12" s="229"/>
      <c r="F12" s="230"/>
    </row>
    <row r="13" spans="2:6" ht="31.5" customHeight="1" x14ac:dyDescent="0.2">
      <c r="B13" s="6"/>
      <c r="C13" s="7" t="s">
        <v>5</v>
      </c>
      <c r="D13" s="231">
        <f>'Devis Général'!D11:F11</f>
        <v>0</v>
      </c>
      <c r="E13" s="231"/>
      <c r="F13" s="232"/>
    </row>
    <row r="14" spans="2:6" ht="33" customHeight="1" x14ac:dyDescent="0.2">
      <c r="B14" s="6"/>
      <c r="C14" s="7" t="s">
        <v>6</v>
      </c>
      <c r="D14" s="233">
        <f>'Devis Général'!D12:F12</f>
        <v>0</v>
      </c>
      <c r="E14" s="233"/>
      <c r="F14" s="234"/>
    </row>
    <row r="15" spans="2:6" ht="57.75" customHeight="1" thickBot="1" x14ac:dyDescent="0.25">
      <c r="B15" s="6"/>
      <c r="C15" s="8" t="s">
        <v>7</v>
      </c>
      <c r="D15" s="235">
        <f>'Devis Général'!D13:F13</f>
        <v>0</v>
      </c>
      <c r="E15" s="235"/>
      <c r="F15" s="236"/>
    </row>
    <row r="16" spans="2:6" ht="33.75" customHeight="1" x14ac:dyDescent="0.2">
      <c r="B16" s="4" t="s">
        <v>8</v>
      </c>
      <c r="C16" s="5" t="s">
        <v>4</v>
      </c>
      <c r="D16" s="229" t="str">
        <f>'Devis Général'!D14:F14</f>
        <v xml:space="preserve">CEREGE LN2C </v>
      </c>
      <c r="E16" s="229"/>
      <c r="F16" s="230"/>
    </row>
    <row r="17" spans="2:6" ht="36" customHeight="1" x14ac:dyDescent="0.2">
      <c r="B17" s="6"/>
      <c r="C17" s="7" t="s">
        <v>5</v>
      </c>
      <c r="D17" s="231" t="str">
        <f>'Devis Général'!D15:F15</f>
        <v>Av Louis Philibert, Europôle de l'Arbois BP80 13454 Aix en Provence Cedex 04</v>
      </c>
      <c r="E17" s="231"/>
      <c r="F17" s="232"/>
    </row>
    <row r="18" spans="2:6" ht="36" customHeight="1" x14ac:dyDescent="0.2">
      <c r="B18" s="6"/>
      <c r="C18" s="7" t="s">
        <v>6</v>
      </c>
      <c r="D18" s="235" t="str">
        <f>'Devis Général'!D16:F16</f>
        <v>UMR 7330</v>
      </c>
      <c r="E18" s="235"/>
      <c r="F18" s="236"/>
    </row>
    <row r="19" spans="2:6" ht="69.75" customHeight="1" thickBot="1" x14ac:dyDescent="0.25">
      <c r="B19" s="10"/>
      <c r="C19" s="201" t="s">
        <v>9</v>
      </c>
      <c r="D19" s="202"/>
      <c r="E19" s="202"/>
      <c r="F19" s="203"/>
    </row>
    <row r="20" spans="2:6" ht="45.75" customHeight="1" x14ac:dyDescent="0.2">
      <c r="B20" s="4" t="s">
        <v>39</v>
      </c>
      <c r="C20" s="116" t="s">
        <v>11</v>
      </c>
      <c r="D20" s="231" t="str">
        <f>'Devis Général'!D18:F18</f>
        <v>Braucher Régis - ln2c@cerege.fr</v>
      </c>
      <c r="E20" s="231"/>
      <c r="F20" s="232"/>
    </row>
    <row r="21" spans="2:6" ht="43.5" customHeight="1" thickBot="1" x14ac:dyDescent="0.25">
      <c r="B21" s="10"/>
      <c r="C21" s="115" t="s">
        <v>10</v>
      </c>
      <c r="D21" s="237">
        <f>'Devis Général'!D19:F19</f>
        <v>0</v>
      </c>
      <c r="E21" s="237"/>
      <c r="F21" s="238"/>
    </row>
    <row r="22" spans="2:6" ht="27" customHeight="1" x14ac:dyDescent="0.25">
      <c r="B22" s="37"/>
      <c r="C22" s="38"/>
    </row>
    <row r="23" spans="2:6" ht="22" thickBot="1" x14ac:dyDescent="0.3">
      <c r="B23" s="11" t="s">
        <v>12</v>
      </c>
      <c r="C23" s="1"/>
      <c r="D23" s="1"/>
      <c r="E23" s="1"/>
      <c r="F23" s="1"/>
    </row>
    <row r="24" spans="2:6" ht="44.25" customHeight="1" thickBot="1" x14ac:dyDescent="0.25">
      <c r="B24" s="228">
        <f>'Devis Général'!B24:C24</f>
        <v>0</v>
      </c>
      <c r="C24" s="228"/>
      <c r="D24" s="35" t="s">
        <v>22</v>
      </c>
      <c r="E24" s="35" t="s">
        <v>13</v>
      </c>
      <c r="F24" s="35" t="s">
        <v>23</v>
      </c>
    </row>
    <row r="25" spans="2:6" ht="27" customHeight="1" thickBot="1" x14ac:dyDescent="0.25">
      <c r="B25" s="71" t="s">
        <v>17</v>
      </c>
      <c r="C25" s="57"/>
      <c r="D25" s="93">
        <f>'Devis Général'!J25+'Devis Général'!N25</f>
        <v>65</v>
      </c>
      <c r="E25" s="94">
        <f>'Devis Général'!K25</f>
        <v>1</v>
      </c>
      <c r="F25" s="66">
        <f>D25*E25</f>
        <v>65</v>
      </c>
    </row>
    <row r="26" spans="2:6" ht="27" customHeight="1" thickBot="1" x14ac:dyDescent="0.25">
      <c r="B26" s="72" t="s">
        <v>18</v>
      </c>
      <c r="C26" s="58"/>
      <c r="D26" s="93">
        <f>'Devis Général'!J26+'Devis Général'!N26</f>
        <v>20.84</v>
      </c>
      <c r="E26" s="95">
        <f>'Devis Général'!K26</f>
        <v>1</v>
      </c>
      <c r="F26" s="67">
        <f t="shared" ref="F26:F33" si="0">D26*E26</f>
        <v>20.84</v>
      </c>
    </row>
    <row r="27" spans="2:6" ht="27" customHeight="1" x14ac:dyDescent="0.2">
      <c r="B27" s="72" t="s">
        <v>19</v>
      </c>
      <c r="C27" s="58"/>
      <c r="D27" s="93">
        <f>'Devis Général'!J27+'Devis Général'!N27</f>
        <v>33.229999999999997</v>
      </c>
      <c r="E27" s="97">
        <f>'Devis Général'!K27</f>
        <v>1</v>
      </c>
      <c r="F27" s="67">
        <f>D27*E27</f>
        <v>33.229999999999997</v>
      </c>
    </row>
    <row r="28" spans="2:6" ht="27" customHeight="1" thickBot="1" x14ac:dyDescent="0.25">
      <c r="B28" s="73" t="s">
        <v>33</v>
      </c>
      <c r="C28" s="59"/>
      <c r="D28" s="96">
        <f>'Devis Général'!J29+'Devis Général'!N29</f>
        <v>0</v>
      </c>
      <c r="E28" s="97">
        <f>'Devis Général'!K29</f>
        <v>1</v>
      </c>
      <c r="F28" s="69">
        <f t="shared" si="0"/>
        <v>0</v>
      </c>
    </row>
    <row r="29" spans="2:6" ht="26.25" customHeight="1" thickBot="1" x14ac:dyDescent="0.25">
      <c r="B29" s="79" t="s">
        <v>26</v>
      </c>
      <c r="C29" s="60"/>
      <c r="D29" s="68">
        <f>D25+D26+D27+D28</f>
        <v>119.07</v>
      </c>
      <c r="E29" s="42">
        <f>E25</f>
        <v>1</v>
      </c>
      <c r="F29" s="70">
        <f>F25+F26+F27+F28</f>
        <v>119.07</v>
      </c>
    </row>
    <row r="30" spans="2:6" ht="25.5" customHeight="1" x14ac:dyDescent="0.2">
      <c r="B30" s="74" t="s">
        <v>21</v>
      </c>
      <c r="C30" s="57"/>
      <c r="D30" s="98">
        <f>'Devis Général'!J28+'Devis Général'!N28</f>
        <v>108.14</v>
      </c>
      <c r="E30" s="99">
        <f>'Devis Général'!K28</f>
        <v>1</v>
      </c>
      <c r="F30" s="40">
        <f t="shared" si="0"/>
        <v>108.14</v>
      </c>
    </row>
    <row r="31" spans="2:6" ht="24" customHeight="1" x14ac:dyDescent="0.2">
      <c r="B31" s="75" t="s">
        <v>20</v>
      </c>
      <c r="C31" s="58"/>
      <c r="D31" s="98">
        <f>'Devis Général'!J30+'Devis Général'!N30</f>
        <v>0</v>
      </c>
      <c r="E31" s="95">
        <f>'Devis Général'!K30</f>
        <v>1</v>
      </c>
      <c r="F31" s="40">
        <f t="shared" si="0"/>
        <v>0</v>
      </c>
    </row>
    <row r="32" spans="2:6" ht="24" customHeight="1" x14ac:dyDescent="0.2">
      <c r="B32" s="75" t="s">
        <v>24</v>
      </c>
      <c r="C32" s="58"/>
      <c r="D32" s="98">
        <f>'Devis Général'!J31+'Devis Général'!N31</f>
        <v>15.899999999999999</v>
      </c>
      <c r="E32" s="95">
        <f>'Devis Général'!K31</f>
        <v>1</v>
      </c>
      <c r="F32" s="40">
        <f t="shared" si="0"/>
        <v>15.899999999999999</v>
      </c>
    </row>
    <row r="33" spans="2:6" ht="27" customHeight="1" thickBot="1" x14ac:dyDescent="0.25">
      <c r="B33" s="76" t="s">
        <v>0</v>
      </c>
      <c r="C33" s="59"/>
      <c r="D33" s="98">
        <f>'Devis Général'!J32+'Devis Général'!N32</f>
        <v>179.19</v>
      </c>
      <c r="E33" s="95">
        <f>'Devis Général'!K32</f>
        <v>1</v>
      </c>
      <c r="F33" s="41">
        <f t="shared" si="0"/>
        <v>179.19</v>
      </c>
    </row>
    <row r="34" spans="2:6" ht="24.75" customHeight="1" thickBot="1" x14ac:dyDescent="0.25">
      <c r="B34" s="80" t="s">
        <v>34</v>
      </c>
      <c r="C34" s="61"/>
      <c r="D34" s="55">
        <f>D30+D31+D32+D33</f>
        <v>303.23</v>
      </c>
      <c r="E34" s="42">
        <f>E25</f>
        <v>1</v>
      </c>
      <c r="F34" s="43">
        <f>F30+F31+F32+F33</f>
        <v>303.23</v>
      </c>
    </row>
    <row r="35" spans="2:6" ht="25.5" customHeight="1" thickBot="1" x14ac:dyDescent="0.25">
      <c r="B35" s="81" t="s">
        <v>29</v>
      </c>
      <c r="C35" s="62"/>
      <c r="D35" s="56">
        <f>D29+D34</f>
        <v>422.3</v>
      </c>
      <c r="E35" s="47">
        <f>E25</f>
        <v>1</v>
      </c>
      <c r="F35" s="48">
        <f>F29+F34</f>
        <v>422.3</v>
      </c>
    </row>
    <row r="36" spans="2:6" ht="19" x14ac:dyDescent="0.2">
      <c r="B36" s="33"/>
      <c r="C36" s="33"/>
      <c r="D36" s="34"/>
      <c r="E36" s="29"/>
      <c r="F36" s="34"/>
    </row>
    <row r="37" spans="2:6" ht="21" x14ac:dyDescent="0.25">
      <c r="B37" s="25" t="s">
        <v>14</v>
      </c>
      <c r="C37" s="1"/>
      <c r="D37" s="13"/>
      <c r="E37" s="13"/>
      <c r="F37" s="15"/>
    </row>
    <row r="38" spans="2:6" x14ac:dyDescent="0.2">
      <c r="B38" s="223" t="str">
        <f>CONCATENATE('Devis Général'!J40," et ",'Devis Général'!O40)</f>
        <v>DEC246850DR12 et DEC235730DR12</v>
      </c>
      <c r="F38" s="16"/>
    </row>
    <row r="39" spans="2:6" ht="21" x14ac:dyDescent="0.25">
      <c r="B39" s="223"/>
      <c r="E39" s="1"/>
      <c r="F39" s="1"/>
    </row>
    <row r="40" spans="2:6" ht="21" x14ac:dyDescent="0.25">
      <c r="B40" s="1"/>
      <c r="C40" s="1"/>
      <c r="D40" s="1"/>
      <c r="E40" s="1"/>
      <c r="F40" s="1"/>
    </row>
    <row r="41" spans="2:6" ht="21" x14ac:dyDescent="0.25">
      <c r="B41" s="1"/>
      <c r="C41" s="1"/>
      <c r="D41" s="1"/>
      <c r="E41" s="1"/>
      <c r="F41" s="1"/>
    </row>
    <row r="42" spans="2:6" ht="21" x14ac:dyDescent="0.2">
      <c r="D42" s="17"/>
      <c r="E42" s="17"/>
      <c r="F42" s="17"/>
    </row>
    <row r="43" spans="2:6" ht="16" x14ac:dyDescent="0.2">
      <c r="B43" s="191" t="s">
        <v>16</v>
      </c>
      <c r="C43" s="191"/>
      <c r="D43" s="191"/>
      <c r="E43" s="191"/>
      <c r="F43" s="191"/>
    </row>
    <row r="44" spans="2:6" ht="146.25" customHeight="1" x14ac:dyDescent="0.2">
      <c r="B44" s="192" t="s">
        <v>40</v>
      </c>
      <c r="C44" s="193"/>
      <c r="D44" s="193"/>
      <c r="E44" s="193"/>
      <c r="F44" s="193"/>
    </row>
    <row r="45" spans="2:6" ht="21" x14ac:dyDescent="0.25">
      <c r="B45" s="1"/>
      <c r="C45" s="1"/>
      <c r="D45" s="13"/>
      <c r="E45" s="13"/>
      <c r="F45" s="13"/>
    </row>
    <row r="46" spans="2:6" ht="21" x14ac:dyDescent="0.25">
      <c r="B46" s="1"/>
      <c r="C46" s="1"/>
      <c r="D46" s="1"/>
    </row>
    <row r="47" spans="2:6" ht="21" x14ac:dyDescent="0.25">
      <c r="B47" s="1"/>
      <c r="C47" s="1"/>
      <c r="D47" s="1"/>
    </row>
    <row r="48" spans="2:6" ht="37.5" customHeight="1" x14ac:dyDescent="0.25">
      <c r="B48" s="224" t="s">
        <v>52</v>
      </c>
      <c r="C48" s="225"/>
      <c r="D48" s="1"/>
      <c r="E48" s="226" t="s">
        <v>31</v>
      </c>
      <c r="F48" s="227"/>
    </row>
    <row r="49" spans="2:6" ht="21" x14ac:dyDescent="0.25">
      <c r="B49" s="19"/>
      <c r="C49" s="20"/>
      <c r="D49" s="1"/>
      <c r="E49" s="19"/>
      <c r="F49" s="20"/>
    </row>
    <row r="50" spans="2:6" ht="21" x14ac:dyDescent="0.25">
      <c r="B50" s="100"/>
      <c r="C50" s="101"/>
      <c r="D50" s="1"/>
      <c r="E50" s="21"/>
      <c r="F50" s="22"/>
    </row>
    <row r="51" spans="2:6" ht="21" x14ac:dyDescent="0.25">
      <c r="B51" s="100"/>
      <c r="C51" s="101"/>
      <c r="D51" s="1"/>
      <c r="E51" s="21"/>
      <c r="F51" s="22"/>
    </row>
    <row r="52" spans="2:6" ht="21" x14ac:dyDescent="0.2">
      <c r="B52" s="100"/>
      <c r="C52" s="101"/>
      <c r="E52" s="21"/>
      <c r="F52" s="22"/>
    </row>
    <row r="53" spans="2:6" ht="21" x14ac:dyDescent="0.2">
      <c r="B53" s="102"/>
      <c r="C53" s="103"/>
      <c r="E53" s="23"/>
      <c r="F53" s="24"/>
    </row>
  </sheetData>
  <mergeCells count="17">
    <mergeCell ref="B24:C24"/>
    <mergeCell ref="B5:F5"/>
    <mergeCell ref="D12:F12"/>
    <mergeCell ref="D13:F13"/>
    <mergeCell ref="D14:F14"/>
    <mergeCell ref="D15:F15"/>
    <mergeCell ref="D16:F16"/>
    <mergeCell ref="D17:F17"/>
    <mergeCell ref="D18:F18"/>
    <mergeCell ref="C19:F19"/>
    <mergeCell ref="D20:F20"/>
    <mergeCell ref="D21:F21"/>
    <mergeCell ref="B38:B39"/>
    <mergeCell ref="B43:F43"/>
    <mergeCell ref="B44:F44"/>
    <mergeCell ref="B48:C48"/>
    <mergeCell ref="E48:F48"/>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CD50-5B68-45E2-89D4-8E672B07827C}">
  <sheetPr>
    <pageSetUpPr fitToPage="1"/>
  </sheetPr>
  <dimension ref="B3:F52"/>
  <sheetViews>
    <sheetView workbookViewId="0">
      <selection activeCell="D13" sqref="D13:F13"/>
    </sheetView>
  </sheetViews>
  <sheetFormatPr baseColWidth="10" defaultRowHeight="15" x14ac:dyDescent="0.2"/>
  <cols>
    <col min="2" max="2" width="50.5" customWidth="1"/>
    <col min="3" max="3" width="36.83203125" customWidth="1"/>
    <col min="4" max="4" width="21.33203125" customWidth="1"/>
    <col min="5" max="5" width="17" customWidth="1"/>
    <col min="6" max="6" width="34.5" customWidth="1"/>
  </cols>
  <sheetData>
    <row r="3" spans="2:6" ht="21" x14ac:dyDescent="0.25">
      <c r="B3" s="89" t="s">
        <v>58</v>
      </c>
    </row>
    <row r="5" spans="2:6" ht="24" x14ac:dyDescent="0.2">
      <c r="B5" s="204" t="s">
        <v>50</v>
      </c>
      <c r="C5" s="204"/>
      <c r="D5" s="204"/>
      <c r="E5" s="204"/>
      <c r="F5" s="204"/>
    </row>
    <row r="6" spans="2:6" ht="24" x14ac:dyDescent="0.2">
      <c r="B6" s="27"/>
      <c r="C6" s="27"/>
      <c r="D6" s="27"/>
      <c r="E6" s="27"/>
      <c r="F6" s="27"/>
    </row>
    <row r="7" spans="2:6" ht="21" x14ac:dyDescent="0.25">
      <c r="B7" s="1"/>
      <c r="C7" s="1"/>
      <c r="D7" s="1"/>
      <c r="E7" s="2" t="s">
        <v>1</v>
      </c>
      <c r="F7" s="13">
        <f>'Devis Général'!F5</f>
        <v>0</v>
      </c>
    </row>
    <row r="8" spans="2:6" ht="21" x14ac:dyDescent="0.25">
      <c r="B8" s="1"/>
      <c r="C8" s="1"/>
      <c r="D8" s="1"/>
      <c r="E8" s="1"/>
    </row>
    <row r="9" spans="2:6" ht="21" x14ac:dyDescent="0.25">
      <c r="B9" s="1"/>
      <c r="C9" s="1"/>
      <c r="D9" s="1"/>
      <c r="E9" s="3" t="s">
        <v>2</v>
      </c>
      <c r="F9" s="92">
        <f>'Devis Général'!F7</f>
        <v>0</v>
      </c>
    </row>
    <row r="10" spans="2:6" ht="21" x14ac:dyDescent="0.25">
      <c r="B10" s="1"/>
      <c r="C10" s="1"/>
      <c r="D10" s="1"/>
      <c r="E10" s="1"/>
      <c r="F10" s="1"/>
    </row>
    <row r="11" spans="2:6" ht="22" thickBot="1" x14ac:dyDescent="0.3">
      <c r="B11" s="1"/>
      <c r="C11" s="1"/>
      <c r="D11" s="1"/>
      <c r="E11" s="1"/>
      <c r="F11" s="1"/>
    </row>
    <row r="12" spans="2:6" ht="21" x14ac:dyDescent="0.2">
      <c r="B12" s="4" t="s">
        <v>3</v>
      </c>
      <c r="C12" s="5" t="s">
        <v>4</v>
      </c>
      <c r="D12" s="229" t="str">
        <f>'Devis Général'!D10:F10</f>
        <v>NON</v>
      </c>
      <c r="E12" s="229"/>
      <c r="F12" s="230"/>
    </row>
    <row r="13" spans="2:6" ht="21" x14ac:dyDescent="0.2">
      <c r="B13" s="6"/>
      <c r="C13" s="7" t="s">
        <v>5</v>
      </c>
      <c r="D13" s="231">
        <f>'Devis Général'!D11:F11</f>
        <v>0</v>
      </c>
      <c r="E13" s="231"/>
      <c r="F13" s="232"/>
    </row>
    <row r="14" spans="2:6" ht="21" x14ac:dyDescent="0.2">
      <c r="B14" s="6"/>
      <c r="C14" s="7" t="s">
        <v>6</v>
      </c>
      <c r="D14" s="247">
        <f>'Devis Général'!D12:F12</f>
        <v>0</v>
      </c>
      <c r="E14" s="233"/>
      <c r="F14" s="234"/>
    </row>
    <row r="15" spans="2:6" ht="41" thickBot="1" x14ac:dyDescent="0.25">
      <c r="B15" s="10"/>
      <c r="C15" s="51" t="s">
        <v>7</v>
      </c>
      <c r="D15" s="248">
        <f>'Devis Général'!D13:F13</f>
        <v>0</v>
      </c>
      <c r="E15" s="248"/>
      <c r="F15" s="249"/>
    </row>
    <row r="16" spans="2:6" ht="21" x14ac:dyDescent="0.2">
      <c r="B16" s="4" t="s">
        <v>8</v>
      </c>
      <c r="C16" s="5" t="s">
        <v>4</v>
      </c>
      <c r="D16" s="229" t="str">
        <f>'Devis Général'!D14:F14</f>
        <v xml:space="preserve">CEREGE LN2C </v>
      </c>
      <c r="E16" s="229"/>
      <c r="F16" s="230"/>
    </row>
    <row r="17" spans="2:6" ht="21" x14ac:dyDescent="0.2">
      <c r="B17" s="6"/>
      <c r="C17" s="7" t="s">
        <v>5</v>
      </c>
      <c r="D17" s="231" t="str">
        <f>'Devis Général'!D15:F15</f>
        <v>Av Louis Philibert, Europôle de l'Arbois BP80 13454 Aix en Provence Cedex 04</v>
      </c>
      <c r="E17" s="231"/>
      <c r="F17" s="232"/>
    </row>
    <row r="18" spans="2:6" ht="21" x14ac:dyDescent="0.2">
      <c r="B18" s="6"/>
      <c r="C18" s="9" t="s">
        <v>6</v>
      </c>
      <c r="D18" s="235" t="str">
        <f>'Devis Général'!D16:F16</f>
        <v>UMR 7330</v>
      </c>
      <c r="E18" s="235"/>
      <c r="F18" s="236"/>
    </row>
    <row r="19" spans="2:6" ht="22" thickBot="1" x14ac:dyDescent="0.25">
      <c r="B19" s="10"/>
      <c r="C19" s="202" t="s">
        <v>9</v>
      </c>
      <c r="D19" s="202"/>
      <c r="E19" s="202"/>
      <c r="F19" s="203"/>
    </row>
    <row r="20" spans="2:6" ht="37" x14ac:dyDescent="0.2">
      <c r="B20" s="4" t="s">
        <v>39</v>
      </c>
      <c r="C20" s="116" t="s">
        <v>11</v>
      </c>
      <c r="D20" s="239" t="str">
        <f>'Devis Général'!D18:F18</f>
        <v>Braucher Régis - ln2c@cerege.fr</v>
      </c>
      <c r="E20" s="240"/>
      <c r="F20" s="241"/>
    </row>
    <row r="21" spans="2:6" ht="38" thickBot="1" x14ac:dyDescent="0.25">
      <c r="B21" s="10"/>
      <c r="C21" s="115" t="s">
        <v>10</v>
      </c>
      <c r="D21" s="242">
        <f>'Devis Général'!D19:F19</f>
        <v>0</v>
      </c>
      <c r="E21" s="243"/>
      <c r="F21" s="244"/>
    </row>
    <row r="22" spans="2:6" ht="21" x14ac:dyDescent="0.25">
      <c r="B22" s="1"/>
      <c r="C22" s="1"/>
      <c r="D22" s="1"/>
      <c r="E22" s="1"/>
      <c r="F22" s="1"/>
    </row>
    <row r="23" spans="2:6" ht="22" thickBot="1" x14ac:dyDescent="0.3">
      <c r="B23" s="11" t="s">
        <v>12</v>
      </c>
      <c r="C23" s="1"/>
      <c r="D23" s="1"/>
      <c r="E23" s="1"/>
      <c r="F23" s="1"/>
    </row>
    <row r="24" spans="2:6" ht="22" thickBot="1" x14ac:dyDescent="0.25">
      <c r="B24" s="245">
        <f>'Devis Général'!B24:C24</f>
        <v>0</v>
      </c>
      <c r="C24" s="246"/>
      <c r="D24" s="138" t="s">
        <v>22</v>
      </c>
      <c r="E24" s="139" t="s">
        <v>13</v>
      </c>
      <c r="F24" s="140" t="s">
        <v>23</v>
      </c>
    </row>
    <row r="25" spans="2:6" ht="22" thickBot="1" x14ac:dyDescent="0.25">
      <c r="B25" s="71" t="s">
        <v>17</v>
      </c>
      <c r="C25" s="124"/>
      <c r="D25" s="126">
        <f>'Devis Général'!J25+'Devis Général'!N25</f>
        <v>65</v>
      </c>
      <c r="E25" s="94">
        <f>'Devis Général'!K25</f>
        <v>1</v>
      </c>
      <c r="F25" s="66">
        <f>D25*E25</f>
        <v>65</v>
      </c>
    </row>
    <row r="26" spans="2:6" ht="22" thickBot="1" x14ac:dyDescent="0.25">
      <c r="B26" s="72" t="s">
        <v>18</v>
      </c>
      <c r="C26" s="26"/>
      <c r="D26" s="126">
        <f>'Devis Général'!J26+'Devis Général'!N26</f>
        <v>20.84</v>
      </c>
      <c r="E26" s="95">
        <f>'Devis Général'!K26</f>
        <v>1</v>
      </c>
      <c r="F26" s="127">
        <f t="shared" ref="F26:F33" si="0">D26*E26</f>
        <v>20.84</v>
      </c>
    </row>
    <row r="27" spans="2:6" ht="22" thickBot="1" x14ac:dyDescent="0.25">
      <c r="B27" s="72" t="s">
        <v>19</v>
      </c>
      <c r="C27" s="26"/>
      <c r="D27" s="126">
        <f>'Devis Général'!J27+'Devis Général'!N27</f>
        <v>33.229999999999997</v>
      </c>
      <c r="E27" s="95">
        <f>'Devis Général'!K27</f>
        <v>1</v>
      </c>
      <c r="F27" s="127">
        <f>D27*E27</f>
        <v>33.229999999999997</v>
      </c>
    </row>
    <row r="28" spans="2:6" ht="22" thickBot="1" x14ac:dyDescent="0.25">
      <c r="B28" s="72" t="s">
        <v>21</v>
      </c>
      <c r="C28" s="26"/>
      <c r="D28" s="126">
        <f>'Devis Général'!J28+'Devis Général'!N28</f>
        <v>108.14</v>
      </c>
      <c r="E28" s="95">
        <f>'Devis Général'!K28</f>
        <v>1</v>
      </c>
      <c r="F28" s="127">
        <f t="shared" si="0"/>
        <v>108.14</v>
      </c>
    </row>
    <row r="29" spans="2:6" ht="22" thickBot="1" x14ac:dyDescent="0.25">
      <c r="B29" s="72" t="s">
        <v>33</v>
      </c>
      <c r="C29" s="26"/>
      <c r="D29" s="126">
        <f>'Devis Général'!J29+'Devis Général'!N29</f>
        <v>0</v>
      </c>
      <c r="E29" s="95">
        <f>'Devis Général'!K29</f>
        <v>1</v>
      </c>
      <c r="F29" s="127">
        <f>D29*E29</f>
        <v>0</v>
      </c>
    </row>
    <row r="30" spans="2:6" ht="22" thickBot="1" x14ac:dyDescent="0.25">
      <c r="B30" s="73" t="s">
        <v>20</v>
      </c>
      <c r="C30" s="45"/>
      <c r="D30" s="126">
        <f>'Devis Général'!J30+'Devis Général'!N30</f>
        <v>0</v>
      </c>
      <c r="E30" s="128">
        <f>'Devis Général'!K30</f>
        <v>1</v>
      </c>
      <c r="F30" s="129">
        <f>D30*E30</f>
        <v>0</v>
      </c>
    </row>
    <row r="31" spans="2:6" ht="22" thickBot="1" x14ac:dyDescent="0.25">
      <c r="B31" s="122" t="s">
        <v>27</v>
      </c>
      <c r="C31" s="123"/>
      <c r="D31" s="130">
        <f>D25+D26+D27+D28+D29</f>
        <v>227.20999999999998</v>
      </c>
      <c r="E31" s="131">
        <f>E25</f>
        <v>1</v>
      </c>
      <c r="F31" s="132">
        <f>F25+F26+F27+F28+F29</f>
        <v>227.20999999999998</v>
      </c>
    </row>
    <row r="32" spans="2:6" ht="22" thickBot="1" x14ac:dyDescent="0.25">
      <c r="B32" s="75" t="s">
        <v>24</v>
      </c>
      <c r="C32" s="26"/>
      <c r="D32" s="135">
        <f>'Devis Général'!J31+'Devis Général'!N31</f>
        <v>15.899999999999999</v>
      </c>
      <c r="E32" s="94">
        <f>'Devis Général'!K31</f>
        <v>1</v>
      </c>
      <c r="F32" s="136">
        <f t="shared" si="0"/>
        <v>15.899999999999999</v>
      </c>
    </row>
    <row r="33" spans="2:6" ht="22" thickBot="1" x14ac:dyDescent="0.25">
      <c r="B33" s="76" t="s">
        <v>0</v>
      </c>
      <c r="C33" s="45"/>
      <c r="D33" s="135">
        <f>'Devis Général'!J32+'Devis Général'!N32</f>
        <v>179.19</v>
      </c>
      <c r="E33" s="128">
        <f>'Devis Général'!K32</f>
        <v>1</v>
      </c>
      <c r="F33" s="137">
        <f t="shared" si="0"/>
        <v>179.19</v>
      </c>
    </row>
    <row r="34" spans="2:6" ht="20" thickBot="1" x14ac:dyDescent="0.25">
      <c r="B34" s="77" t="s">
        <v>28</v>
      </c>
      <c r="C34" s="63"/>
      <c r="D34" s="133">
        <f>D32+D33</f>
        <v>195.09</v>
      </c>
      <c r="E34" s="125">
        <f>E25</f>
        <v>1</v>
      </c>
      <c r="F34" s="134">
        <f>F32+F33</f>
        <v>195.09</v>
      </c>
    </row>
    <row r="35" spans="2:6" ht="20" thickBot="1" x14ac:dyDescent="0.25">
      <c r="B35" s="78" t="s">
        <v>29</v>
      </c>
      <c r="C35" s="64"/>
      <c r="D35" s="56">
        <f>D31+D34</f>
        <v>422.29999999999995</v>
      </c>
      <c r="E35" s="49">
        <f>E25</f>
        <v>1</v>
      </c>
      <c r="F35" s="50">
        <f>F31+F34</f>
        <v>422.29999999999995</v>
      </c>
    </row>
    <row r="36" spans="2:6" ht="21" x14ac:dyDescent="0.25">
      <c r="B36" s="30"/>
      <c r="C36" s="28"/>
      <c r="D36" s="31"/>
      <c r="E36" s="1"/>
      <c r="F36" s="32"/>
    </row>
    <row r="37" spans="2:6" ht="21" x14ac:dyDescent="0.2">
      <c r="B37" s="44" t="s">
        <v>14</v>
      </c>
      <c r="D37" s="17"/>
      <c r="E37" s="17"/>
      <c r="F37" s="17"/>
    </row>
    <row r="38" spans="2:6" ht="21" x14ac:dyDescent="0.2">
      <c r="B38" s="223" t="str">
        <f>CONCATENATE('Devis Général'!J40," et ",'Devis Général'!O40)</f>
        <v>DEC246850DR12 et DEC235730DR12</v>
      </c>
      <c r="D38" s="17"/>
      <c r="E38" s="17"/>
      <c r="F38" s="17"/>
    </row>
    <row r="39" spans="2:6" ht="21" x14ac:dyDescent="0.2">
      <c r="B39" s="223"/>
      <c r="D39" s="17"/>
      <c r="E39" s="17"/>
      <c r="F39" s="17"/>
    </row>
    <row r="40" spans="2:6" ht="21" x14ac:dyDescent="0.2">
      <c r="D40" s="17"/>
      <c r="E40" s="17"/>
      <c r="F40" s="17"/>
    </row>
    <row r="41" spans="2:6" ht="21" x14ac:dyDescent="0.2">
      <c r="D41" s="17"/>
      <c r="E41" s="17"/>
      <c r="F41" s="17"/>
    </row>
    <row r="42" spans="2:6" ht="16" x14ac:dyDescent="0.2">
      <c r="B42" s="191" t="s">
        <v>16</v>
      </c>
      <c r="C42" s="191"/>
      <c r="D42" s="191"/>
      <c r="E42" s="191"/>
      <c r="F42" s="191"/>
    </row>
    <row r="43" spans="2:6" ht="16" x14ac:dyDescent="0.2">
      <c r="B43" s="192" t="s">
        <v>40</v>
      </c>
      <c r="C43" s="193"/>
      <c r="D43" s="193"/>
      <c r="E43" s="193"/>
      <c r="F43" s="193"/>
    </row>
    <row r="44" spans="2:6" ht="21" x14ac:dyDescent="0.25">
      <c r="B44" s="1"/>
      <c r="C44" s="1"/>
      <c r="D44" s="13"/>
      <c r="E44" s="13"/>
      <c r="F44" s="13"/>
    </row>
    <row r="45" spans="2:6" ht="21" x14ac:dyDescent="0.25">
      <c r="B45" s="1"/>
      <c r="C45" s="1"/>
      <c r="D45" s="1"/>
      <c r="E45" s="1"/>
      <c r="F45" s="1"/>
    </row>
    <row r="46" spans="2:6" ht="5" customHeight="1" x14ac:dyDescent="0.25">
      <c r="B46" s="1"/>
      <c r="C46" s="1"/>
      <c r="D46" s="1"/>
      <c r="E46" s="1"/>
    </row>
    <row r="47" spans="2:6" ht="34" customHeight="1" x14ac:dyDescent="0.25">
      <c r="B47" s="224" t="s">
        <v>52</v>
      </c>
      <c r="C47" s="225"/>
      <c r="D47" s="1"/>
      <c r="E47" s="54" t="s">
        <v>32</v>
      </c>
      <c r="F47" s="18"/>
    </row>
    <row r="48" spans="2:6" ht="21" x14ac:dyDescent="0.25">
      <c r="B48" s="53"/>
      <c r="C48" s="20"/>
      <c r="D48" s="1"/>
      <c r="E48" s="19"/>
      <c r="F48" s="20"/>
    </row>
    <row r="49" spans="2:6" ht="21" x14ac:dyDescent="0.25">
      <c r="B49" s="100"/>
      <c r="C49" s="101"/>
      <c r="D49" s="1"/>
      <c r="E49" s="21"/>
      <c r="F49" s="22"/>
    </row>
    <row r="50" spans="2:6" ht="21" x14ac:dyDescent="0.25">
      <c r="B50" s="100"/>
      <c r="C50" s="101"/>
      <c r="D50" s="1"/>
      <c r="E50" s="21"/>
      <c r="F50" s="22"/>
    </row>
    <row r="51" spans="2:6" ht="21" x14ac:dyDescent="0.2">
      <c r="B51" s="100"/>
      <c r="C51" s="101"/>
      <c r="E51" s="21"/>
      <c r="F51" s="22"/>
    </row>
    <row r="52" spans="2:6" ht="21" x14ac:dyDescent="0.2">
      <c r="B52" s="102"/>
      <c r="C52" s="103"/>
      <c r="E52" s="23"/>
      <c r="F52" s="24"/>
    </row>
  </sheetData>
  <mergeCells count="16">
    <mergeCell ref="D16:F16"/>
    <mergeCell ref="B42:F42"/>
    <mergeCell ref="B43:F43"/>
    <mergeCell ref="B38:B39"/>
    <mergeCell ref="B5:F5"/>
    <mergeCell ref="D12:F12"/>
    <mergeCell ref="D13:F13"/>
    <mergeCell ref="D14:F14"/>
    <mergeCell ref="D15:F15"/>
    <mergeCell ref="B47:C47"/>
    <mergeCell ref="D17:F17"/>
    <mergeCell ref="D18:F18"/>
    <mergeCell ref="C19:F19"/>
    <mergeCell ref="D20:F20"/>
    <mergeCell ref="D21:F21"/>
    <mergeCell ref="B24:C24"/>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Devis Général</vt:lpstr>
      <vt:lpstr>Client - Tarifs</vt:lpstr>
      <vt:lpstr>Devis ANR</vt:lpstr>
      <vt:lpstr>Devis HE Clé de répartition</vt:lpstr>
      <vt:lpstr>'Devis ANR'!Zone_d_impression</vt:lpstr>
      <vt:lpstr>'Devis Général'!Zone_d_impression</vt:lpstr>
      <vt:lpstr>'Devis HE Clé de répartition'!Zone_d_impression</vt:lpstr>
    </vt:vector>
  </TitlesOfParts>
  <Company>CNRS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Elbaz</dc:creator>
  <cp:lastModifiedBy>Régis Braucher</cp:lastModifiedBy>
  <cp:lastPrinted>2022-08-19T09:09:50Z</cp:lastPrinted>
  <dcterms:created xsi:type="dcterms:W3CDTF">2022-06-30T12:20:07Z</dcterms:created>
  <dcterms:modified xsi:type="dcterms:W3CDTF">2024-09-28T11:39:53Z</dcterms:modified>
</cp:coreProperties>
</file>